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 MS\3-Per enviar\# WAT-cellularity\PeerJ\Second version\"/>
    </mc:Choice>
  </mc:AlternateContent>
  <bookViews>
    <workbookView xWindow="125" yWindow="138" windowWidth="21312" windowHeight="9779" firstSheet="3" activeTab="3"/>
  </bookViews>
  <sheets>
    <sheet name="RATAS" sheetId="1" r:id="rId1"/>
    <sheet name="TAMAÑO ADIPOCITOS" sheetId="2" r:id="rId2"/>
    <sheet name="CUENTA ADIPOCITOS" sheetId="3" r:id="rId3"/>
    <sheet name="% RBC" sheetId="4" r:id="rId4"/>
    <sheet name="ESTROMA" sheetId="5" r:id="rId5"/>
    <sheet name="CONTENIDO LIPIDOS" sheetId="6" r:id="rId6"/>
    <sheet name="% AGUA" sheetId="7" r:id="rId7"/>
    <sheet name="DENSIDAD" sheetId="8" r:id="rId8"/>
    <sheet name="lac glic gluc nef" sheetId="9" r:id="rId9"/>
  </sheets>
  <externalReferences>
    <externalReference r:id="rId10"/>
  </externalReferences>
  <calcPr calcId="152511"/>
</workbook>
</file>

<file path=xl/calcChain.xml><?xml version="1.0" encoding="utf-8"?>
<calcChain xmlns="http://schemas.openxmlformats.org/spreadsheetml/2006/main">
  <c r="P24" i="9" l="1"/>
  <c r="L24" i="9"/>
  <c r="H24" i="9"/>
  <c r="N24" i="9"/>
  <c r="F24" i="9"/>
  <c r="E11" i="1"/>
  <c r="E10" i="1"/>
  <c r="D11" i="1"/>
  <c r="D10" i="1"/>
  <c r="C18" i="4"/>
  <c r="B18" i="4"/>
  <c r="E15" i="6"/>
  <c r="E16" i="6" s="1"/>
  <c r="D16" i="6"/>
  <c r="D15" i="6"/>
  <c r="C15" i="6"/>
  <c r="C16" i="6" s="1"/>
  <c r="B16" i="6"/>
  <c r="B15" i="6"/>
  <c r="C21" i="8"/>
  <c r="C20" i="8"/>
  <c r="C12" i="8"/>
  <c r="C11" i="8"/>
  <c r="E15" i="7"/>
  <c r="E16" i="7" s="1"/>
  <c r="D16" i="7"/>
  <c r="D15" i="7"/>
  <c r="C15" i="7"/>
  <c r="C16" i="7" s="1"/>
  <c r="B16" i="7"/>
  <c r="B15" i="7"/>
  <c r="K29" i="8"/>
  <c r="L29" i="8" s="1"/>
  <c r="M29" i="8" s="1"/>
  <c r="L28" i="8"/>
  <c r="M28" i="8" s="1"/>
  <c r="K28" i="8"/>
  <c r="K27" i="8"/>
  <c r="L27" i="8" s="1"/>
  <c r="M27" i="8" s="1"/>
  <c r="K26" i="8"/>
  <c r="L26" i="8" s="1"/>
  <c r="M26" i="8" s="1"/>
  <c r="M32" i="8" s="1"/>
  <c r="K13" i="8"/>
  <c r="L13" i="8" s="1"/>
  <c r="M13" i="8" s="1"/>
  <c r="O18" i="8" s="1"/>
  <c r="L12" i="8"/>
  <c r="M12" i="8" s="1"/>
  <c r="K12" i="8"/>
  <c r="K11" i="8"/>
  <c r="L11" i="8" s="1"/>
  <c r="M11" i="8" s="1"/>
  <c r="L8" i="8"/>
  <c r="M8" i="8" s="1"/>
  <c r="K8" i="8"/>
  <c r="K7" i="8"/>
  <c r="L7" i="8" s="1"/>
  <c r="M7" i="8" s="1"/>
  <c r="L6" i="8"/>
  <c r="M6" i="8" s="1"/>
  <c r="K6" i="8"/>
  <c r="K5" i="8"/>
  <c r="L5" i="8" s="1"/>
  <c r="M5" i="8" s="1"/>
  <c r="K4" i="8"/>
  <c r="L4" i="8" s="1"/>
  <c r="M4" i="8" s="1"/>
  <c r="Z37" i="5"/>
  <c r="Y37" i="5"/>
  <c r="Y36" i="5"/>
  <c r="W35" i="5"/>
  <c r="R35" i="5"/>
  <c r="M35" i="5"/>
  <c r="H35" i="5"/>
  <c r="C35" i="5"/>
  <c r="W34" i="5"/>
  <c r="W33" i="5"/>
  <c r="R33" i="5"/>
  <c r="M33" i="5"/>
  <c r="H33" i="5"/>
  <c r="W32" i="5"/>
  <c r="R32" i="5"/>
  <c r="M32" i="5"/>
  <c r="H32" i="5"/>
  <c r="W31" i="5"/>
  <c r="R31" i="5"/>
  <c r="Q25" i="5" s="1"/>
  <c r="M31" i="5"/>
  <c r="L25" i="5" s="1"/>
  <c r="L22" i="5" s="1"/>
  <c r="M22" i="5" s="1"/>
  <c r="H31" i="5"/>
  <c r="W25" i="5"/>
  <c r="V25" i="5"/>
  <c r="R25" i="5"/>
  <c r="M25" i="5"/>
  <c r="H25" i="5"/>
  <c r="G25" i="5"/>
  <c r="C25" i="5"/>
  <c r="B25" i="5"/>
  <c r="V24" i="5"/>
  <c r="V44" i="5" s="1"/>
  <c r="Q24" i="5"/>
  <c r="Q44" i="5" s="1"/>
  <c r="L24" i="5"/>
  <c r="L44" i="5" s="1"/>
  <c r="G24" i="5"/>
  <c r="G44" i="5" s="1"/>
  <c r="B24" i="5"/>
  <c r="B44" i="5" s="1"/>
  <c r="G22" i="5"/>
  <c r="H22" i="5" s="1"/>
  <c r="C14" i="5"/>
  <c r="B14" i="5"/>
  <c r="C16" i="4"/>
  <c r="C15" i="4"/>
  <c r="C13" i="4"/>
  <c r="C12" i="4"/>
  <c r="C10" i="4"/>
  <c r="C9" i="4"/>
  <c r="C5" i="4"/>
  <c r="C4" i="4"/>
  <c r="C67" i="3"/>
  <c r="B67" i="3"/>
  <c r="C60" i="3"/>
  <c r="C59" i="3"/>
  <c r="C55" i="3"/>
  <c r="C54" i="3"/>
  <c r="C50" i="3"/>
  <c r="C49" i="3"/>
  <c r="C47" i="3"/>
  <c r="B35" i="3"/>
  <c r="R23" i="3"/>
  <c r="P22" i="3"/>
  <c r="P23" i="3" s="1"/>
  <c r="P19" i="3"/>
  <c r="P20" i="3" s="1"/>
  <c r="B18" i="3"/>
  <c r="L17" i="3"/>
  <c r="G17" i="3"/>
  <c r="B36" i="3" s="1"/>
  <c r="P16" i="3"/>
  <c r="P17" i="3" s="1"/>
  <c r="J16" i="3"/>
  <c r="J17" i="3" s="1"/>
  <c r="E16" i="3"/>
  <c r="E17" i="3" s="1"/>
  <c r="P13" i="3"/>
  <c r="P14" i="3" s="1"/>
  <c r="J13" i="3"/>
  <c r="J14" i="3" s="1"/>
  <c r="E13" i="3"/>
  <c r="E14" i="3" s="1"/>
  <c r="P11" i="3"/>
  <c r="P10" i="3"/>
  <c r="J10" i="3"/>
  <c r="J11" i="3" s="1"/>
  <c r="E10" i="3"/>
  <c r="E11" i="3" s="1"/>
  <c r="C10" i="3"/>
  <c r="B19" i="3" s="1"/>
  <c r="P7" i="3"/>
  <c r="J7" i="3"/>
  <c r="J24" i="3" s="1"/>
  <c r="E7" i="3"/>
  <c r="E8" i="3" s="1"/>
  <c r="A7" i="3"/>
  <c r="A8" i="3" s="1"/>
  <c r="P4" i="3"/>
  <c r="P5" i="3" s="1"/>
  <c r="J4" i="3"/>
  <c r="J5" i="3" s="1"/>
  <c r="E4" i="3"/>
  <c r="A35" i="3" s="1"/>
  <c r="A4" i="3"/>
  <c r="A5" i="3" s="1"/>
  <c r="A14" i="3" s="1"/>
  <c r="F9" i="1"/>
  <c r="F8" i="1"/>
  <c r="F7" i="1"/>
  <c r="F5" i="1"/>
  <c r="F4" i="1"/>
  <c r="F3" i="1"/>
  <c r="F11" i="1" s="1"/>
  <c r="M19" i="8" l="1"/>
  <c r="M18" i="8"/>
  <c r="M31" i="8"/>
  <c r="F10" i="1"/>
  <c r="P30" i="3"/>
  <c r="C16" i="5"/>
  <c r="C17" i="5" s="1"/>
  <c r="Q22" i="5"/>
  <c r="R22" i="5" s="1"/>
  <c r="B22" i="5"/>
  <c r="C22" i="5" s="1"/>
  <c r="C24" i="5" s="1"/>
  <c r="C26" i="5" s="1"/>
  <c r="V22" i="5"/>
  <c r="W22" i="5" s="1"/>
  <c r="Y22" i="5" s="1"/>
  <c r="J24" i="9"/>
  <c r="G24" i="9"/>
  <c r="I24" i="9"/>
  <c r="K24" i="9"/>
  <c r="M24" i="9"/>
  <c r="O24" i="9"/>
  <c r="Q24" i="9"/>
  <c r="O19" i="8"/>
  <c r="M15" i="8"/>
  <c r="M16" i="8"/>
  <c r="D22" i="5"/>
  <c r="N22" i="5"/>
  <c r="M24" i="5"/>
  <c r="Z22" i="5"/>
  <c r="X22" i="5"/>
  <c r="W24" i="5"/>
  <c r="H24" i="5"/>
  <c r="AA22" i="5"/>
  <c r="I22" i="5"/>
  <c r="R24" i="5"/>
  <c r="S22" i="5"/>
  <c r="H26" i="5"/>
  <c r="M26" i="5"/>
  <c r="R26" i="5"/>
  <c r="I25" i="5"/>
  <c r="S25" i="5"/>
  <c r="Y25" i="5"/>
  <c r="B42" i="5"/>
  <c r="G42" i="5"/>
  <c r="L42" i="5"/>
  <c r="Q42" i="5"/>
  <c r="V42" i="5"/>
  <c r="B43" i="5"/>
  <c r="G43" i="5"/>
  <c r="L43" i="5"/>
  <c r="Q43" i="5"/>
  <c r="V43" i="5"/>
  <c r="D25" i="5"/>
  <c r="N25" i="5"/>
  <c r="X25" i="5"/>
  <c r="J26" i="3"/>
  <c r="J25" i="3"/>
  <c r="A37" i="3"/>
  <c r="A36" i="3"/>
  <c r="P31" i="3"/>
  <c r="P32" i="3"/>
  <c r="B14" i="3"/>
  <c r="E5" i="3"/>
  <c r="E20" i="3" s="1"/>
  <c r="P8" i="3"/>
  <c r="P26" i="3" s="1"/>
  <c r="A18" i="3"/>
  <c r="E24" i="3"/>
  <c r="A32" i="3"/>
  <c r="J8" i="3"/>
  <c r="J20" i="3" s="1"/>
  <c r="F20" i="3"/>
  <c r="Q45" i="5" l="1"/>
  <c r="G45" i="5"/>
  <c r="H45" i="5" s="1"/>
  <c r="D24" i="9"/>
  <c r="E24" i="9"/>
  <c r="H42" i="5"/>
  <c r="H43" i="5" s="1"/>
  <c r="H44" i="5" s="1"/>
  <c r="AA24" i="5"/>
  <c r="AA26" i="5" s="1"/>
  <c r="I24" i="5"/>
  <c r="W42" i="5"/>
  <c r="W43" i="5" s="1"/>
  <c r="W44" i="5" s="1"/>
  <c r="Z24" i="5"/>
  <c r="X24" i="5"/>
  <c r="Y24" i="5"/>
  <c r="R45" i="5"/>
  <c r="R42" i="5"/>
  <c r="R43" i="5" s="1"/>
  <c r="R44" i="5" s="1"/>
  <c r="S24" i="5"/>
  <c r="M42" i="5"/>
  <c r="M43" i="5" s="1"/>
  <c r="M44" i="5" s="1"/>
  <c r="N24" i="5"/>
  <c r="C42" i="5"/>
  <c r="C43" i="5" s="1"/>
  <c r="C44" i="5" s="1"/>
  <c r="D24" i="5"/>
  <c r="V45" i="5"/>
  <c r="W45" i="5" s="1"/>
  <c r="L45" i="5"/>
  <c r="M45" i="5" s="1"/>
  <c r="B45" i="5"/>
  <c r="C45" i="5" s="1"/>
  <c r="W26" i="5"/>
  <c r="A20" i="3"/>
  <c r="A19" i="3"/>
  <c r="K20" i="3"/>
  <c r="Q26" i="3"/>
  <c r="E26" i="3"/>
  <c r="E25" i="3"/>
  <c r="B32" i="3"/>
  <c r="B24" i="9" l="1"/>
  <c r="C24" i="9"/>
  <c r="C48" i="5"/>
  <c r="C47" i="5"/>
  <c r="C46" i="5"/>
  <c r="W48" i="5"/>
  <c r="W47" i="5"/>
  <c r="W46" i="5"/>
  <c r="Y45" i="5"/>
  <c r="Y27" i="5" s="1"/>
  <c r="Y29" i="5" s="1"/>
  <c r="M48" i="5"/>
  <c r="M47" i="5"/>
  <c r="M46" i="5"/>
  <c r="H48" i="5"/>
  <c r="H47" i="5"/>
  <c r="H46" i="5"/>
  <c r="R48" i="5"/>
  <c r="R47" i="5"/>
  <c r="AA47" i="5" s="1"/>
  <c r="R46" i="5"/>
  <c r="AA46" i="5" l="1"/>
  <c r="Z53" i="5" s="1"/>
  <c r="Y47" i="5"/>
  <c r="Y46" i="5"/>
  <c r="Z47" i="5"/>
  <c r="Z46" i="5"/>
  <c r="Y53" i="5" s="1"/>
  <c r="Z48" i="5"/>
</calcChain>
</file>

<file path=xl/sharedStrings.xml><?xml version="1.0" encoding="utf-8"?>
<sst xmlns="http://schemas.openxmlformats.org/spreadsheetml/2006/main" count="420" uniqueCount="134">
  <si>
    <t>exp RENDIMIENTO</t>
  </si>
  <si>
    <t>rat</t>
  </si>
  <si>
    <t>peso</t>
  </si>
  <si>
    <t>edad(dias)</t>
  </si>
  <si>
    <t>semanas</t>
  </si>
  <si>
    <t>nascita</t>
  </si>
  <si>
    <t>sacrificio</t>
  </si>
  <si>
    <t>PROMEDIO</t>
  </si>
  <si>
    <t>EXP 12 - 13 - 14</t>
  </si>
  <si>
    <t>diameter</t>
  </si>
  <si>
    <t>frequenza di distribuzione</t>
  </si>
  <si>
    <t>Total number of values</t>
  </si>
  <si>
    <t>Number of excluded values</t>
  </si>
  <si>
    <t>Number of binned values</t>
  </si>
  <si>
    <t>Minimum</t>
  </si>
  <si>
    <t>25% Percentile</t>
  </si>
  <si>
    <t>Median</t>
  </si>
  <si>
    <t>75% Percentile</t>
  </si>
  <si>
    <t>Maximum</t>
  </si>
  <si>
    <t>Mean</t>
  </si>
  <si>
    <t>Std. Deviation</t>
  </si>
  <si>
    <t>Std. Error</t>
  </si>
  <si>
    <t>Lower 95% CI of mean</t>
  </si>
  <si>
    <t>Upper 95% CI of mean</t>
  </si>
  <si>
    <t>volumen</t>
  </si>
  <si>
    <t>EXP 11</t>
  </si>
  <si>
    <t>EXP 12</t>
  </si>
  <si>
    <t>EXP 13</t>
  </si>
  <si>
    <t>EXP14</t>
  </si>
  <si>
    <t>cell/ml</t>
  </si>
  <si>
    <t>g 100ul</t>
  </si>
  <si>
    <t>cell/ml sosp</t>
  </si>
  <si>
    <t>cell/100 ul adip (100+400)</t>
  </si>
  <si>
    <t>cell/100 ul adip</t>
  </si>
  <si>
    <t>cell/sospension</t>
  </si>
  <si>
    <t>g adipocitos+krebs sin grasa</t>
  </si>
  <si>
    <t>400µl adip= g</t>
  </si>
  <si>
    <t>MEAN</t>
  </si>
  <si>
    <t>SD</t>
  </si>
  <si>
    <t>cell</t>
  </si>
  <si>
    <t>g</t>
  </si>
  <si>
    <t>µl</t>
  </si>
  <si>
    <t>cell/well</t>
  </si>
  <si>
    <t>RESUMEN</t>
  </si>
  <si>
    <t>Recovery of intect adipocytes</t>
  </si>
  <si>
    <t>cells/tot suspension</t>
  </si>
  <si>
    <t>mean</t>
  </si>
  <si>
    <t>RED BLOOD CELLS %</t>
  </si>
  <si>
    <t>%RBC</t>
  </si>
  <si>
    <t>mean err</t>
  </si>
  <si>
    <t>error</t>
  </si>
  <si>
    <t>volumen promedio estromales</t>
  </si>
  <si>
    <t>pL</t>
  </si>
  <si>
    <t>EXP 14</t>
  </si>
  <si>
    <t>EXP 9/04/16</t>
  </si>
  <si>
    <t>suma</t>
  </si>
  <si>
    <t xml:space="preserve">ml </t>
  </si>
  <si>
    <t>celulas estromales tot DIGESTION</t>
  </si>
  <si>
    <t>cel estrom / g tejido</t>
  </si>
  <si>
    <t>EXP 13 dil(1/4)</t>
  </si>
  <si>
    <t xml:space="preserve">EXP 14 </t>
  </si>
  <si>
    <t xml:space="preserve">EXP 19/4 </t>
  </si>
  <si>
    <t>total medio</t>
  </si>
  <si>
    <t>frazione adipocitos tot</t>
  </si>
  <si>
    <t>frazione adip solo medio</t>
  </si>
  <si>
    <t xml:space="preserve">frazione estroma </t>
  </si>
  <si>
    <t>lavados</t>
  </si>
  <si>
    <t>en digerido tot</t>
  </si>
  <si>
    <t>por g</t>
  </si>
  <si>
    <t>dig  ml</t>
  </si>
  <si>
    <t>block ml</t>
  </si>
  <si>
    <t xml:space="preserve">lav vial ml </t>
  </si>
  <si>
    <t>g tejido dig</t>
  </si>
  <si>
    <t>volumen adipocitos (prom pL ; ml tot)</t>
  </si>
  <si>
    <t>numero adipocitos (hoja cuenta)</t>
  </si>
  <si>
    <t>numero adipocitos</t>
  </si>
  <si>
    <t>n estromales recuperadas</t>
  </si>
  <si>
    <t>diluicción de las estromales en la fracción final de adipocitos</t>
  </si>
  <si>
    <t>F.D.</t>
  </si>
  <si>
    <t>lav 1 (cell que quedan con adip)</t>
  </si>
  <si>
    <t>lav 2</t>
  </si>
  <si>
    <t>lav 3</t>
  </si>
  <si>
    <t>tot (cell que quedan con adip)</t>
  </si>
  <si>
    <t>% respecto tot estromales</t>
  </si>
  <si>
    <t>% rispetto adipocitos</t>
  </si>
  <si>
    <t>% rispetto a frazione in medio adipo</t>
  </si>
  <si>
    <t>% GRASA TEJIDO</t>
  </si>
  <si>
    <t>% GRASA ADIPOCITOS</t>
  </si>
  <si>
    <t>% lipids</t>
  </si>
  <si>
    <t>mg/g</t>
  </si>
  <si>
    <t>AGUA TEJIDO</t>
  </si>
  <si>
    <t>AGUA SUSP ADIPOCITOS</t>
  </si>
  <si>
    <t>% water</t>
  </si>
  <si>
    <t>TISSUE DENSITY</t>
  </si>
  <si>
    <t>perigonadal</t>
  </si>
  <si>
    <t>Vacia</t>
  </si>
  <si>
    <t>mas agua</t>
  </si>
  <si>
    <t>tejido</t>
  </si>
  <si>
    <t>tubo+teji+agua</t>
  </si>
  <si>
    <t xml:space="preserve"> mas agua (tejido)</t>
  </si>
  <si>
    <t>vol tejido</t>
  </si>
  <si>
    <t>densidad</t>
  </si>
  <si>
    <t>E1</t>
  </si>
  <si>
    <t>tissue g</t>
  </si>
  <si>
    <t>density</t>
  </si>
  <si>
    <t>E3</t>
  </si>
  <si>
    <t>E4</t>
  </si>
  <si>
    <t>e1</t>
  </si>
  <si>
    <t>e2</t>
  </si>
  <si>
    <t>LIPIDS DENSITY</t>
  </si>
  <si>
    <t>lipids g</t>
  </si>
  <si>
    <t>d</t>
  </si>
  <si>
    <t>prom</t>
  </si>
  <si>
    <t>err</t>
  </si>
  <si>
    <t>resumen PG</t>
  </si>
  <si>
    <t>vacia  g</t>
  </si>
  <si>
    <t>con agua g</t>
  </si>
  <si>
    <t>lipidos g</t>
  </si>
  <si>
    <t>Agua+grasa</t>
  </si>
  <si>
    <t>masa/volagua</t>
  </si>
  <si>
    <t>Vol grasa</t>
  </si>
  <si>
    <t>GLUCOSE</t>
  </si>
  <si>
    <t>LACTATE</t>
  </si>
  <si>
    <t>GLYCEROL</t>
  </si>
  <si>
    <t>NEFA</t>
  </si>
  <si>
    <t>akat/cell</t>
  </si>
  <si>
    <t>akat/cel</t>
  </si>
  <si>
    <t>PERIGONADAL ADIPOCYTES</t>
  </si>
  <si>
    <t>24h</t>
  </si>
  <si>
    <t>48h</t>
  </si>
  <si>
    <r>
      <t>D 24</t>
    </r>
    <r>
      <rPr>
        <sz val="11"/>
        <color theme="1"/>
        <rFont val="Arial"/>
        <family val="2"/>
      </rPr>
      <t>h</t>
    </r>
  </si>
  <si>
    <r>
      <t>D 48</t>
    </r>
    <r>
      <rPr>
        <sz val="11"/>
        <color theme="1"/>
        <rFont val="Arial"/>
        <family val="2"/>
      </rPr>
      <t>h</t>
    </r>
  </si>
  <si>
    <t>final (akat/cell)</t>
  </si>
  <si>
    <t>7mM glu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</si>
</sst>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0.0.E+00"/>
    <numFmt numFmtId="166" formatCode="0.000"/>
    <numFmt numFmtId="167" formatCode="0.00.E+00"/>
    <numFmt numFmtId="168" formatCode="0.0%"/>
    <numFmt numFmtId="169" formatCode="0.0000000"/>
    <numFmt numFmtId="170" formatCode="0.0000"/>
    <numFmt numFmtId="171" formatCode="0.00000"/>
  </numFmts>
  <fonts count="3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color theme="1" tint="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</borders>
  <cellStyleXfs count="1">
    <xf numFmtId="0" fontId="0" fillId="0" borderId="0"/>
  </cellStyleXfs>
  <cellXfs count="382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3" fillId="0" borderId="0" xfId="0" applyFont="1" applyBorder="1"/>
    <xf numFmtId="164" fontId="3" fillId="0" borderId="0" xfId="0" applyNumberFormat="1" applyFont="1" applyBorder="1"/>
    <xf numFmtId="16" fontId="3" fillId="0" borderId="0" xfId="0" applyNumberFormat="1" applyFont="1" applyBorder="1"/>
    <xf numFmtId="16" fontId="3" fillId="0" borderId="5" xfId="0" applyNumberFormat="1" applyFont="1" applyBorder="1"/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16" fontId="0" fillId="0" borderId="0" xfId="0" applyNumberFormat="1" applyBorder="1"/>
    <xf numFmtId="16" fontId="0" fillId="0" borderId="5" xfId="0" applyNumberFormat="1" applyBorder="1"/>
    <xf numFmtId="0" fontId="3" fillId="0" borderId="0" xfId="0" applyFont="1"/>
    <xf numFmtId="0" fontId="0" fillId="0" borderId="0" xfId="0" applyFill="1" applyBorder="1"/>
    <xf numFmtId="15" fontId="3" fillId="0" borderId="6" xfId="0" applyNumberFormat="1" applyFont="1" applyBorder="1"/>
    <xf numFmtId="0" fontId="3" fillId="0" borderId="7" xfId="0" applyFont="1" applyBorder="1"/>
    <xf numFmtId="164" fontId="3" fillId="0" borderId="7" xfId="0" applyNumberFormat="1" applyFont="1" applyBorder="1"/>
    <xf numFmtId="16" fontId="3" fillId="0" borderId="7" xfId="0" applyNumberFormat="1" applyFont="1" applyBorder="1"/>
    <xf numFmtId="16" fontId="3" fillId="0" borderId="8" xfId="0" applyNumberFormat="1" applyFont="1" applyBorder="1"/>
    <xf numFmtId="0" fontId="2" fillId="0" borderId="1" xfId="0" applyFont="1" applyFill="1" applyBorder="1"/>
    <xf numFmtId="0" fontId="0" fillId="0" borderId="2" xfId="0" applyFill="1" applyBorder="1"/>
    <xf numFmtId="1" fontId="0" fillId="0" borderId="2" xfId="0" applyNumberFormat="1" applyFill="1" applyBorder="1" applyAlignment="1">
      <alignment horizontal="center"/>
    </xf>
    <xf numFmtId="0" fontId="0" fillId="0" borderId="3" xfId="0" applyFill="1" applyBorder="1"/>
    <xf numFmtId="0" fontId="0" fillId="0" borderId="6" xfId="0" applyFill="1" applyBorder="1"/>
    <xf numFmtId="0" fontId="0" fillId="0" borderId="7" xfId="0" applyFill="1" applyBorder="1"/>
    <xf numFmtId="1" fontId="0" fillId="0" borderId="7" xfId="0" applyNumberFormat="1" applyFill="1" applyBorder="1" applyAlignment="1">
      <alignment horizontal="center"/>
    </xf>
    <xf numFmtId="0" fontId="0" fillId="0" borderId="8" xfId="0" applyFill="1" applyBorder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NumberFormat="1" applyFont="1"/>
    <xf numFmtId="0" fontId="6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" fontId="0" fillId="0" borderId="1" xfId="0" applyNumberFormat="1" applyBorder="1"/>
    <xf numFmtId="0" fontId="0" fillId="0" borderId="9" xfId="0" applyBorder="1" applyAlignment="1">
      <alignment horizontal="center"/>
    </xf>
    <xf numFmtId="1" fontId="0" fillId="0" borderId="4" xfId="0" applyNumberFormat="1" applyBorder="1"/>
    <xf numFmtId="0" fontId="0" fillId="0" borderId="5" xfId="0" applyBorder="1"/>
    <xf numFmtId="165" fontId="0" fillId="0" borderId="4" xfId="0" applyNumberFormat="1" applyFont="1" applyBorder="1"/>
    <xf numFmtId="11" fontId="0" fillId="0" borderId="0" xfId="0" applyNumberFormat="1" applyFont="1"/>
    <xf numFmtId="11" fontId="2" fillId="0" borderId="0" xfId="0" applyNumberFormat="1" applyFont="1"/>
    <xf numFmtId="0" fontId="0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165" fontId="2" fillId="0" borderId="0" xfId="0" applyNumberFormat="1" applyFont="1" applyFill="1"/>
    <xf numFmtId="0" fontId="0" fillId="0" borderId="0" xfId="0" applyFill="1"/>
    <xf numFmtId="0" fontId="0" fillId="0" borderId="1" xfId="0" applyBorder="1"/>
    <xf numFmtId="11" fontId="0" fillId="0" borderId="6" xfId="0" applyNumberFormat="1" applyFont="1" applyBorder="1" applyAlignment="1">
      <alignment horizontal="center"/>
    </xf>
    <xf numFmtId="11" fontId="0" fillId="0" borderId="7" xfId="0" applyNumberFormat="1" applyFont="1" applyBorder="1" applyAlignment="1">
      <alignment horizontal="center"/>
    </xf>
    <xf numFmtId="0" fontId="0" fillId="0" borderId="8" xfId="0" applyBorder="1"/>
    <xf numFmtId="11" fontId="0" fillId="0" borderId="0" xfId="0" applyNumberFormat="1" applyFont="1" applyAlignment="1">
      <alignment horizontal="center"/>
    </xf>
    <xf numFmtId="11" fontId="2" fillId="0" borderId="0" xfId="0" applyNumberFormat="1" applyFont="1" applyBorder="1"/>
    <xf numFmtId="11" fontId="2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1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11" fontId="0" fillId="0" borderId="4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11" fontId="0" fillId="0" borderId="4" xfId="0" applyNumberFormat="1" applyBorder="1" applyAlignment="1">
      <alignment horizontal="center"/>
    </xf>
    <xf numFmtId="11" fontId="0" fillId="0" borderId="6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167" fontId="0" fillId="2" borderId="14" xfId="0" applyNumberFormat="1" applyFont="1" applyFill="1" applyBorder="1"/>
    <xf numFmtId="165" fontId="0" fillId="2" borderId="15" xfId="0" applyNumberFormat="1" applyFont="1" applyFill="1" applyBorder="1"/>
    <xf numFmtId="0" fontId="0" fillId="0" borderId="16" xfId="0" applyBorder="1"/>
    <xf numFmtId="166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1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ill="1" applyBorder="1" applyAlignment="1">
      <alignment horizontal="center"/>
    </xf>
    <xf numFmtId="167" fontId="0" fillId="0" borderId="17" xfId="0" applyNumberFormat="1" applyFont="1" applyFill="1" applyBorder="1"/>
    <xf numFmtId="0" fontId="0" fillId="0" borderId="18" xfId="0" applyFill="1" applyBorder="1" applyAlignment="1">
      <alignment horizontal="center"/>
    </xf>
    <xf numFmtId="11" fontId="2" fillId="2" borderId="14" xfId="0" applyNumberFormat="1" applyFon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0" fontId="0" fillId="2" borderId="15" xfId="0" applyFill="1" applyBorder="1"/>
    <xf numFmtId="11" fontId="0" fillId="0" borderId="20" xfId="0" applyNumberFormat="1" applyBorder="1" applyAlignment="1">
      <alignment horizontal="center"/>
    </xf>
    <xf numFmtId="0" fontId="0" fillId="0" borderId="21" xfId="0" applyBorder="1"/>
    <xf numFmtId="0" fontId="0" fillId="0" borderId="16" xfId="0" applyFill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1" fontId="10" fillId="0" borderId="2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1" fontId="10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1" fontId="9" fillId="0" borderId="2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1" fontId="9" fillId="0" borderId="0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165" fontId="9" fillId="0" borderId="7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0" fontId="11" fillId="0" borderId="0" xfId="0" applyFont="1"/>
    <xf numFmtId="11" fontId="11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right"/>
    </xf>
    <xf numFmtId="164" fontId="9" fillId="0" borderId="2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right"/>
    </xf>
    <xf numFmtId="164" fontId="9" fillId="0" borderId="0" xfId="0" applyNumberFormat="1" applyFont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164" fontId="9" fillId="0" borderId="7" xfId="0" applyNumberFormat="1" applyFont="1" applyBorder="1" applyAlignment="1">
      <alignment horizontal="center"/>
    </xf>
    <xf numFmtId="0" fontId="9" fillId="0" borderId="8" xfId="0" applyFont="1" applyBorder="1"/>
    <xf numFmtId="0" fontId="9" fillId="0" borderId="6" xfId="0" applyFont="1" applyBorder="1" applyAlignment="1">
      <alignment horizontal="right"/>
    </xf>
    <xf numFmtId="2" fontId="9" fillId="0" borderId="8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9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1" fontId="2" fillId="0" borderId="0" xfId="0" applyNumberFormat="1" applyFont="1" applyBorder="1" applyAlignment="1">
      <alignment horizontal="center" vertical="center"/>
    </xf>
    <xf numFmtId="1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8" fontId="0" fillId="0" borderId="0" xfId="0" applyNumberForma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left"/>
    </xf>
    <xf numFmtId="2" fontId="0" fillId="0" borderId="0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1" fontId="0" fillId="0" borderId="0" xfId="0" applyNumberFormat="1" applyBorder="1"/>
    <xf numFmtId="2" fontId="0" fillId="0" borderId="0" xfId="0" applyNumberFormat="1" applyBorder="1"/>
    <xf numFmtId="1" fontId="0" fillId="0" borderId="0" xfId="0" applyNumberFormat="1" applyBorder="1"/>
    <xf numFmtId="1" fontId="0" fillId="0" borderId="5" xfId="0" applyNumberFormat="1" applyBorder="1"/>
    <xf numFmtId="2" fontId="0" fillId="0" borderId="5" xfId="0" applyNumberFormat="1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0" fillId="0" borderId="0" xfId="0" applyNumberFormat="1" applyBorder="1"/>
    <xf numFmtId="165" fontId="0" fillId="0" borderId="5" xfId="0" applyNumberFormat="1" applyBorder="1"/>
    <xf numFmtId="167" fontId="0" fillId="0" borderId="0" xfId="0" applyNumberFormat="1" applyBorder="1"/>
    <xf numFmtId="11" fontId="0" fillId="0" borderId="0" xfId="0" applyNumberFormat="1"/>
    <xf numFmtId="0" fontId="0" fillId="0" borderId="0" xfId="0" applyFont="1" applyBorder="1"/>
    <xf numFmtId="165" fontId="0" fillId="0" borderId="0" xfId="0" applyNumberFormat="1"/>
    <xf numFmtId="0" fontId="0" fillId="0" borderId="4" xfId="0" applyFill="1" applyBorder="1"/>
    <xf numFmtId="165" fontId="12" fillId="0" borderId="0" xfId="0" applyNumberFormat="1" applyFont="1" applyBorder="1"/>
    <xf numFmtId="2" fontId="0" fillId="0" borderId="0" xfId="0" applyNumberFormat="1"/>
    <xf numFmtId="0" fontId="0" fillId="0" borderId="0" xfId="0" applyFont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/>
    </xf>
    <xf numFmtId="0" fontId="0" fillId="0" borderId="5" xfId="0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1" fontId="13" fillId="0" borderId="0" xfId="0" applyNumberFormat="1" applyFont="1" applyFill="1" applyBorder="1" applyAlignment="1">
      <alignment horizontal="center"/>
    </xf>
    <xf numFmtId="11" fontId="13" fillId="0" borderId="0" xfId="0" applyNumberFormat="1" applyFont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11" fontId="3" fillId="0" borderId="0" xfId="0" applyNumberFormat="1" applyFont="1" applyFill="1" applyBorder="1" applyAlignment="1">
      <alignment horizontal="center"/>
    </xf>
    <xf numFmtId="11" fontId="2" fillId="0" borderId="0" xfId="0" applyNumberFormat="1" applyFont="1" applyBorder="1" applyAlignment="1">
      <alignment horizontal="center"/>
    </xf>
    <xf numFmtId="166" fontId="0" fillId="0" borderId="0" xfId="0" applyNumberFormat="1"/>
    <xf numFmtId="11" fontId="0" fillId="0" borderId="0" xfId="0" applyNumberFormat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0" fontId="15" fillId="0" borderId="4" xfId="0" applyFont="1" applyBorder="1"/>
    <xf numFmtId="0" fontId="15" fillId="0" borderId="0" xfId="0" applyFont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8" xfId="0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1" fontId="15" fillId="0" borderId="1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15" fillId="0" borderId="6" xfId="0" applyFont="1" applyBorder="1"/>
    <xf numFmtId="2" fontId="17" fillId="0" borderId="7" xfId="0" applyNumberFormat="1" applyFont="1" applyBorder="1" applyAlignment="1">
      <alignment horizontal="center"/>
    </xf>
    <xf numFmtId="2" fontId="15" fillId="0" borderId="7" xfId="0" applyNumberFormat="1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0" fontId="15" fillId="0" borderId="8" xfId="0" applyFont="1" applyBorder="1"/>
    <xf numFmtId="0" fontId="15" fillId="0" borderId="0" xfId="0" applyFont="1" applyBorder="1"/>
    <xf numFmtId="1" fontId="15" fillId="0" borderId="6" xfId="0" applyNumberFormat="1" applyFont="1" applyBorder="1" applyAlignment="1">
      <alignment horizontal="center"/>
    </xf>
    <xf numFmtId="2" fontId="15" fillId="0" borderId="8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1" fontId="14" fillId="0" borderId="6" xfId="0" applyNumberFormat="1" applyFont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15" fillId="0" borderId="5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4" fontId="15" fillId="0" borderId="7" xfId="0" applyNumberFormat="1" applyFont="1" applyBorder="1" applyAlignment="1">
      <alignment horizontal="center"/>
    </xf>
    <xf numFmtId="170" fontId="15" fillId="0" borderId="2" xfId="0" applyNumberFormat="1" applyFont="1" applyBorder="1" applyAlignment="1">
      <alignment horizontal="center"/>
    </xf>
    <xf numFmtId="170" fontId="15" fillId="0" borderId="7" xfId="0" applyNumberFormat="1" applyFont="1" applyBorder="1" applyAlignment="1">
      <alignment horizontal="center"/>
    </xf>
    <xf numFmtId="170" fontId="15" fillId="0" borderId="8" xfId="0" applyNumberFormat="1" applyFont="1" applyBorder="1" applyAlignment="1">
      <alignment horizontal="center"/>
    </xf>
    <xf numFmtId="164" fontId="15" fillId="0" borderId="8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1" xfId="0" applyFont="1" applyBorder="1"/>
    <xf numFmtId="0" fontId="18" fillId="0" borderId="2" xfId="0" applyFont="1" applyBorder="1"/>
    <xf numFmtId="0" fontId="18" fillId="0" borderId="3" xfId="0" applyFont="1" applyBorder="1"/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8" fillId="0" borderId="4" xfId="0" applyFont="1" applyBorder="1"/>
    <xf numFmtId="0" fontId="18" fillId="0" borderId="0" xfId="0" applyFont="1" applyBorder="1"/>
    <xf numFmtId="166" fontId="18" fillId="0" borderId="0" xfId="0" applyNumberFormat="1" applyFont="1" applyBorder="1"/>
    <xf numFmtId="0" fontId="18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6" fontId="3" fillId="0" borderId="0" xfId="0" applyNumberFormat="1" applyFont="1" applyBorder="1"/>
    <xf numFmtId="0" fontId="3" fillId="0" borderId="5" xfId="0" applyFont="1" applyBorder="1"/>
    <xf numFmtId="0" fontId="19" fillId="0" borderId="0" xfId="0" applyFont="1" applyBorder="1"/>
    <xf numFmtId="166" fontId="19" fillId="0" borderId="0" xfId="0" applyNumberFormat="1" applyFont="1" applyBorder="1"/>
    <xf numFmtId="166" fontId="20" fillId="0" borderId="0" xfId="0" applyNumberFormat="1" applyFont="1" applyBorder="1"/>
    <xf numFmtId="2" fontId="3" fillId="0" borderId="5" xfId="0" applyNumberFormat="1" applyFont="1" applyBorder="1" applyAlignment="1">
      <alignment horizontal="center"/>
    </xf>
    <xf numFmtId="0" fontId="3" fillId="0" borderId="4" xfId="0" applyFont="1" applyFill="1" applyBorder="1"/>
    <xf numFmtId="166" fontId="3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166" fontId="18" fillId="0" borderId="0" xfId="0" applyNumberFormat="1" applyFont="1" applyBorder="1" applyAlignment="1">
      <alignment horizontal="left"/>
    </xf>
    <xf numFmtId="170" fontId="18" fillId="0" borderId="0" xfId="0" applyNumberFormat="1" applyFont="1" applyBorder="1" applyAlignment="1">
      <alignment horizontal="left"/>
    </xf>
    <xf numFmtId="2" fontId="18" fillId="0" borderId="0" xfId="0" applyNumberFormat="1" applyFont="1" applyBorder="1" applyAlignment="1">
      <alignment horizontal="center"/>
    </xf>
    <xf numFmtId="166" fontId="21" fillId="2" borderId="25" xfId="0" applyNumberFormat="1" applyFont="1" applyFill="1" applyBorder="1"/>
    <xf numFmtId="166" fontId="22" fillId="0" borderId="26" xfId="0" applyNumberFormat="1" applyFont="1" applyBorder="1"/>
    <xf numFmtId="171" fontId="21" fillId="2" borderId="27" xfId="0" applyNumberFormat="1" applyFont="1" applyFill="1" applyBorder="1" applyAlignment="1">
      <alignment horizontal="right"/>
    </xf>
    <xf numFmtId="171" fontId="21" fillId="0" borderId="0" xfId="0" applyNumberFormat="1" applyFont="1" applyBorder="1" applyAlignment="1">
      <alignment horizontal="right"/>
    </xf>
    <xf numFmtId="0" fontId="3" fillId="0" borderId="6" xfId="0" applyFont="1" applyBorder="1"/>
    <xf numFmtId="170" fontId="20" fillId="0" borderId="7" xfId="0" applyNumberFormat="1" applyFont="1" applyBorder="1" applyAlignment="1">
      <alignment horizontal="right"/>
    </xf>
    <xf numFmtId="2" fontId="3" fillId="0" borderId="8" xfId="0" applyNumberFormat="1" applyFont="1" applyBorder="1" applyAlignment="1">
      <alignment horizontal="center"/>
    </xf>
    <xf numFmtId="0" fontId="23" fillId="0" borderId="4" xfId="0" applyFont="1" applyFill="1" applyBorder="1"/>
    <xf numFmtId="0" fontId="18" fillId="0" borderId="28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23" fillId="0" borderId="1" xfId="0" applyFont="1" applyFill="1" applyBorder="1"/>
    <xf numFmtId="0" fontId="23" fillId="0" borderId="28" xfId="0" applyFont="1" applyFill="1" applyBorder="1" applyAlignment="1">
      <alignment horizontal="center"/>
    </xf>
    <xf numFmtId="166" fontId="23" fillId="0" borderId="28" xfId="0" applyNumberFormat="1" applyFont="1" applyFill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23" fillId="0" borderId="3" xfId="0" applyNumberFormat="1" applyFont="1" applyBorder="1" applyAlignment="1">
      <alignment horizontal="center"/>
    </xf>
    <xf numFmtId="0" fontId="23" fillId="0" borderId="0" xfId="0" applyFont="1" applyBorder="1"/>
    <xf numFmtId="0" fontId="23" fillId="0" borderId="5" xfId="0" applyFont="1" applyBorder="1"/>
    <xf numFmtId="0" fontId="18" fillId="0" borderId="29" xfId="0" applyFont="1" applyBorder="1" applyAlignment="1">
      <alignment horizontal="center"/>
    </xf>
    <xf numFmtId="166" fontId="18" fillId="0" borderId="29" xfId="0" applyNumberFormat="1" applyFont="1" applyBorder="1" applyAlignment="1">
      <alignment horizontal="center"/>
    </xf>
    <xf numFmtId="166" fontId="23" fillId="0" borderId="0" xfId="0" applyNumberFormat="1" applyFont="1" applyBorder="1" applyAlignment="1">
      <alignment horizontal="center"/>
    </xf>
    <xf numFmtId="166" fontId="23" fillId="0" borderId="5" xfId="0" applyNumberFormat="1" applyFont="1" applyBorder="1" applyAlignment="1">
      <alignment horizontal="center"/>
    </xf>
    <xf numFmtId="0" fontId="18" fillId="0" borderId="6" xfId="0" applyFont="1" applyBorder="1"/>
    <xf numFmtId="0" fontId="18" fillId="0" borderId="30" xfId="0" applyFont="1" applyBorder="1" applyAlignment="1">
      <alignment horizontal="center"/>
    </xf>
    <xf numFmtId="166" fontId="18" fillId="0" borderId="30" xfId="0" applyNumberFormat="1" applyFont="1" applyBorder="1" applyAlignment="1">
      <alignment horizontal="center"/>
    </xf>
    <xf numFmtId="166" fontId="23" fillId="0" borderId="7" xfId="0" applyNumberFormat="1" applyFont="1" applyBorder="1" applyAlignment="1">
      <alignment horizontal="center"/>
    </xf>
    <xf numFmtId="166" fontId="23" fillId="0" borderId="8" xfId="0" applyNumberFormat="1" applyFont="1" applyBorder="1" applyAlignment="1">
      <alignment horizontal="center"/>
    </xf>
    <xf numFmtId="170" fontId="21" fillId="2" borderId="27" xfId="0" applyNumberFormat="1" applyFont="1" applyFill="1" applyBorder="1" applyAlignment="1">
      <alignment horizontal="right"/>
    </xf>
    <xf numFmtId="0" fontId="18" fillId="0" borderId="7" xfId="0" applyFont="1" applyBorder="1"/>
    <xf numFmtId="0" fontId="18" fillId="0" borderId="8" xfId="0" applyFont="1" applyBorder="1"/>
    <xf numFmtId="0" fontId="24" fillId="0" borderId="31" xfId="0" applyFont="1" applyBorder="1"/>
    <xf numFmtId="0" fontId="26" fillId="0" borderId="31" xfId="0" applyFont="1" applyBorder="1" applyAlignment="1">
      <alignment horizontal="center"/>
    </xf>
    <xf numFmtId="0" fontId="24" fillId="0" borderId="0" xfId="0" applyFont="1"/>
    <xf numFmtId="0" fontId="26" fillId="0" borderId="3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6" fontId="24" fillId="0" borderId="31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1" fontId="28" fillId="0" borderId="0" xfId="0" applyNumberFormat="1" applyFont="1" applyAlignment="1">
      <alignment horizontal="center"/>
    </xf>
    <xf numFmtId="11" fontId="24" fillId="0" borderId="0" xfId="0" applyNumberFormat="1" applyFont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64" fontId="28" fillId="0" borderId="6" xfId="0" applyNumberFormat="1" applyFont="1" applyBorder="1" applyAlignment="1">
      <alignment horizontal="center"/>
    </xf>
    <xf numFmtId="164" fontId="24" fillId="0" borderId="8" xfId="0" applyNumberFormat="1" applyFont="1" applyBorder="1" applyAlignment="1">
      <alignment horizontal="center"/>
    </xf>
    <xf numFmtId="164" fontId="24" fillId="0" borderId="7" xfId="0" applyNumberFormat="1" applyFont="1" applyBorder="1" applyAlignment="1">
      <alignment horizontal="center"/>
    </xf>
    <xf numFmtId="164" fontId="28" fillId="0" borderId="7" xfId="0" applyNumberFormat="1" applyFont="1" applyBorder="1" applyAlignment="1">
      <alignment horizontal="center"/>
    </xf>
    <xf numFmtId="0" fontId="25" fillId="0" borderId="10" xfId="0" applyFont="1" applyBorder="1" applyAlignment="1">
      <alignment vertical="center"/>
    </xf>
    <xf numFmtId="0" fontId="25" fillId="0" borderId="32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1" fontId="24" fillId="0" borderId="31" xfId="0" applyNumberFormat="1" applyFont="1" applyBorder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0" fontId="25" fillId="0" borderId="33" xfId="0" applyFont="1" applyBorder="1" applyAlignment="1">
      <alignment vertical="center"/>
    </xf>
    <xf numFmtId="0" fontId="26" fillId="0" borderId="33" xfId="0" applyFont="1" applyBorder="1" applyAlignment="1">
      <alignment horizontal="center"/>
    </xf>
    <xf numFmtId="0" fontId="25" fillId="0" borderId="34" xfId="0" applyFont="1" applyBorder="1" applyAlignment="1">
      <alignment vertical="center"/>
    </xf>
    <xf numFmtId="0" fontId="26" fillId="0" borderId="35" xfId="0" applyFont="1" applyBorder="1" applyAlignment="1">
      <alignment horizontal="center" vertical="center"/>
    </xf>
    <xf numFmtId="0" fontId="25" fillId="0" borderId="36" xfId="0" applyFont="1" applyBorder="1" applyAlignment="1">
      <alignment vertical="center"/>
    </xf>
    <xf numFmtId="0" fontId="27" fillId="0" borderId="37" xfId="0" applyFont="1" applyBorder="1" applyAlignment="1">
      <alignment vertical="center"/>
    </xf>
    <xf numFmtId="0" fontId="26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164" fontId="24" fillId="0" borderId="38" xfId="0" applyNumberFormat="1" applyFont="1" applyBorder="1" applyAlignment="1">
      <alignment horizontal="center"/>
    </xf>
    <xf numFmtId="166" fontId="24" fillId="0" borderId="39" xfId="0" applyNumberFormat="1" applyFont="1" applyFill="1" applyBorder="1" applyAlignment="1">
      <alignment horizontal="center"/>
    </xf>
    <xf numFmtId="0" fontId="25" fillId="0" borderId="40" xfId="0" applyFont="1" applyBorder="1" applyAlignment="1">
      <alignment vertical="center"/>
    </xf>
    <xf numFmtId="0" fontId="26" fillId="0" borderId="38" xfId="0" applyFont="1" applyBorder="1" applyAlignment="1">
      <alignment horizontal="center"/>
    </xf>
    <xf numFmtId="164" fontId="24" fillId="0" borderId="41" xfId="0" applyNumberFormat="1" applyFont="1" applyBorder="1" applyAlignment="1">
      <alignment horizontal="center"/>
    </xf>
    <xf numFmtId="1" fontId="24" fillId="0" borderId="42" xfId="0" applyNumberFormat="1" applyFont="1" applyBorder="1" applyAlignment="1">
      <alignment horizontal="center"/>
    </xf>
    <xf numFmtId="166" fontId="24" fillId="0" borderId="42" xfId="0" applyNumberFormat="1" applyFont="1" applyFill="1" applyBorder="1" applyAlignment="1">
      <alignment horizontal="center"/>
    </xf>
    <xf numFmtId="166" fontId="24" fillId="0" borderId="43" xfId="0" applyNumberFormat="1" applyFont="1" applyFill="1" applyBorder="1" applyAlignment="1">
      <alignment horizontal="center"/>
    </xf>
    <xf numFmtId="166" fontId="24" fillId="0" borderId="0" xfId="0" applyNumberFormat="1" applyFont="1" applyFill="1" applyBorder="1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166" fontId="24" fillId="0" borderId="6" xfId="0" applyNumberFormat="1" applyFont="1" applyBorder="1" applyAlignment="1">
      <alignment horizontal="center"/>
    </xf>
    <xf numFmtId="166" fontId="24" fillId="0" borderId="7" xfId="0" applyNumberFormat="1" applyFont="1" applyBorder="1" applyAlignment="1">
      <alignment horizontal="center"/>
    </xf>
    <xf numFmtId="166" fontId="24" fillId="0" borderId="8" xfId="0" applyNumberFormat="1" applyFont="1" applyBorder="1" applyAlignment="1">
      <alignment horizontal="center"/>
    </xf>
    <xf numFmtId="166" fontId="24" fillId="0" borderId="22" xfId="0" applyNumberFormat="1" applyFont="1" applyFill="1" applyBorder="1" applyAlignment="1">
      <alignment horizontal="center"/>
    </xf>
    <xf numFmtId="166" fontId="24" fillId="0" borderId="23" xfId="0" applyNumberFormat="1" applyFont="1" applyFill="1" applyBorder="1" applyAlignment="1">
      <alignment horizontal="center"/>
    </xf>
    <xf numFmtId="166" fontId="24" fillId="0" borderId="24" xfId="0" applyNumberFormat="1" applyFont="1" applyFill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166" fontId="24" fillId="0" borderId="6" xfId="0" applyNumberFormat="1" applyFont="1" applyFill="1" applyBorder="1" applyAlignment="1">
      <alignment horizontal="center"/>
    </xf>
    <xf numFmtId="166" fontId="24" fillId="0" borderId="7" xfId="0" applyNumberFormat="1" applyFont="1" applyFill="1" applyBorder="1" applyAlignment="1">
      <alignment horizontal="center"/>
    </xf>
    <xf numFmtId="166" fontId="24" fillId="0" borderId="8" xfId="0" applyNumberFormat="1" applyFont="1" applyFill="1" applyBorder="1" applyAlignment="1">
      <alignment horizontal="center"/>
    </xf>
    <xf numFmtId="166" fontId="24" fillId="0" borderId="2" xfId="0" applyNumberFormat="1" applyFont="1" applyFill="1" applyBorder="1" applyAlignment="1">
      <alignment horizontal="center"/>
    </xf>
    <xf numFmtId="166" fontId="24" fillId="0" borderId="3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166" fontId="30" fillId="0" borderId="1" xfId="0" applyNumberFormat="1" applyFont="1" applyFill="1" applyBorder="1" applyAlignment="1">
      <alignment horizontal="center"/>
    </xf>
    <xf numFmtId="166" fontId="30" fillId="0" borderId="3" xfId="0" applyNumberFormat="1" applyFont="1" applyFill="1" applyBorder="1" applyAlignment="1">
      <alignment horizontal="center"/>
    </xf>
    <xf numFmtId="0" fontId="29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[1]RATAS!$L$2</c:f>
              <c:strCache>
                <c:ptCount val="1"/>
                <c:pt idx="0">
                  <c:v>peso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0836614173228452"/>
                  <c:y val="-8.5197944006999246E-2"/>
                </c:manualLayout>
              </c:layout>
              <c:numFmt formatCode="General" sourceLinked="0"/>
            </c:trendlineLbl>
          </c:trendline>
          <c:xVal>
            <c:numRef>
              <c:f>[1]RATAS!$K$3:$K$9</c:f>
              <c:numCache>
                <c:formatCode>General</c:formatCode>
                <c:ptCount val="7"/>
                <c:pt idx="0">
                  <c:v>102</c:v>
                </c:pt>
                <c:pt idx="1">
                  <c:v>112</c:v>
                </c:pt>
                <c:pt idx="2">
                  <c:v>122</c:v>
                </c:pt>
                <c:pt idx="3">
                  <c:v>149</c:v>
                </c:pt>
                <c:pt idx="4">
                  <c:v>108</c:v>
                </c:pt>
                <c:pt idx="5">
                  <c:v>107</c:v>
                </c:pt>
                <c:pt idx="6">
                  <c:v>201</c:v>
                </c:pt>
              </c:numCache>
            </c:numRef>
          </c:xVal>
          <c:yVal>
            <c:numRef>
              <c:f>[1]RATAS!$L$3:$L$9</c:f>
              <c:numCache>
                <c:formatCode>General</c:formatCode>
                <c:ptCount val="7"/>
                <c:pt idx="0">
                  <c:v>324</c:v>
                </c:pt>
                <c:pt idx="1">
                  <c:v>494</c:v>
                </c:pt>
                <c:pt idx="2">
                  <c:v>415</c:v>
                </c:pt>
                <c:pt idx="3">
                  <c:v>414</c:v>
                </c:pt>
                <c:pt idx="4">
                  <c:v>394</c:v>
                </c:pt>
                <c:pt idx="5">
                  <c:v>413</c:v>
                </c:pt>
                <c:pt idx="6">
                  <c:v>589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58864"/>
        <c:axId val="273593512"/>
      </c:scatterChart>
      <c:valAx>
        <c:axId val="13535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3593512"/>
        <c:crosses val="autoZero"/>
        <c:crossBetween val="midCat"/>
      </c:valAx>
      <c:valAx>
        <c:axId val="273593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358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[1]RATAS!$L$2</c:f>
              <c:strCache>
                <c:ptCount val="1"/>
                <c:pt idx="0">
                  <c:v>peso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0836614173228452"/>
                  <c:y val="-8.5197944006999246E-2"/>
                </c:manualLayout>
              </c:layout>
              <c:numFmt formatCode="General" sourceLinked="0"/>
            </c:trendlineLbl>
          </c:trendline>
          <c:xVal>
            <c:numRef>
              <c:f>[1]RATAS!$K$3:$K$9</c:f>
              <c:numCache>
                <c:formatCode>General</c:formatCode>
                <c:ptCount val="7"/>
                <c:pt idx="0">
                  <c:v>102</c:v>
                </c:pt>
                <c:pt idx="1">
                  <c:v>112</c:v>
                </c:pt>
                <c:pt idx="2">
                  <c:v>122</c:v>
                </c:pt>
                <c:pt idx="3">
                  <c:v>149</c:v>
                </c:pt>
                <c:pt idx="4">
                  <c:v>108</c:v>
                </c:pt>
                <c:pt idx="5">
                  <c:v>107</c:v>
                </c:pt>
                <c:pt idx="6">
                  <c:v>201</c:v>
                </c:pt>
              </c:numCache>
            </c:numRef>
          </c:xVal>
          <c:yVal>
            <c:numRef>
              <c:f>[1]RATAS!$L$3:$L$9</c:f>
              <c:numCache>
                <c:formatCode>General</c:formatCode>
                <c:ptCount val="7"/>
                <c:pt idx="0">
                  <c:v>324</c:v>
                </c:pt>
                <c:pt idx="1">
                  <c:v>494</c:v>
                </c:pt>
                <c:pt idx="2">
                  <c:v>415</c:v>
                </c:pt>
                <c:pt idx="3">
                  <c:v>414</c:v>
                </c:pt>
                <c:pt idx="4">
                  <c:v>394</c:v>
                </c:pt>
                <c:pt idx="5">
                  <c:v>413</c:v>
                </c:pt>
                <c:pt idx="6">
                  <c:v>589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594688"/>
        <c:axId val="273595080"/>
      </c:scatterChart>
      <c:valAx>
        <c:axId val="27359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3595080"/>
        <c:crosses val="autoZero"/>
        <c:crossBetween val="midCat"/>
      </c:valAx>
      <c:valAx>
        <c:axId val="273595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3594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1</xdr:row>
      <xdr:rowOff>28575</xdr:rowOff>
    </xdr:from>
    <xdr:to>
      <xdr:col>18</xdr:col>
      <xdr:colOff>257175</xdr:colOff>
      <xdr:row>13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9</xdr:col>
          <xdr:colOff>580445</xdr:colOff>
          <xdr:row>19</xdr:row>
          <xdr:rowOff>55659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BFBFB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588397</xdr:colOff>
          <xdr:row>25</xdr:row>
          <xdr:rowOff>143123</xdr:rowOff>
        </xdr:from>
        <xdr:to>
          <xdr:col>9</xdr:col>
          <xdr:colOff>262393</xdr:colOff>
          <xdr:row>41</xdr:row>
          <xdr:rowOff>151075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BFBFB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1</xdr:row>
      <xdr:rowOff>28575</xdr:rowOff>
    </xdr:from>
    <xdr:to>
      <xdr:col>18</xdr:col>
      <xdr:colOff>257175</xdr:colOff>
      <xdr:row>13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ipose%20tissue%20recovery_datos%20tab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vers 2"/>
      <sheetName val="tamaño"/>
      <sheetName val="cuenta=adipocytes recovered"/>
      <sheetName val="% RBC"/>
      <sheetName val="estromales"/>
      <sheetName val="contenido lipidos"/>
      <sheetName val="% agua"/>
      <sheetName val="tabla Marià"/>
      <sheetName val="RATAS"/>
      <sheetName val="dens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L2" t="str">
            <v>peso</v>
          </cell>
        </row>
        <row r="3">
          <cell r="K3">
            <v>102</v>
          </cell>
          <cell r="L3">
            <v>324</v>
          </cell>
        </row>
        <row r="4">
          <cell r="K4">
            <v>112</v>
          </cell>
          <cell r="L4">
            <v>494</v>
          </cell>
        </row>
        <row r="5">
          <cell r="K5">
            <v>122</v>
          </cell>
          <cell r="L5">
            <v>415</v>
          </cell>
        </row>
        <row r="6">
          <cell r="K6">
            <v>149</v>
          </cell>
          <cell r="L6">
            <v>414</v>
          </cell>
        </row>
        <row r="7">
          <cell r="K7">
            <v>108</v>
          </cell>
          <cell r="L7">
            <v>394</v>
          </cell>
        </row>
        <row r="8">
          <cell r="K8">
            <v>107</v>
          </cell>
          <cell r="L8">
            <v>413</v>
          </cell>
        </row>
        <row r="9">
          <cell r="K9">
            <v>201</v>
          </cell>
          <cell r="L9">
            <v>589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BFBF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workbookViewId="0">
      <selection activeCell="K13" sqref="K13"/>
    </sheetView>
  </sheetViews>
  <sheetFormatPr defaultColWidth="11.5546875" defaultRowHeight="15.05" x14ac:dyDescent="0.3"/>
  <sheetData>
    <row r="2" spans="2:12" ht="45.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K2" t="s">
        <v>3</v>
      </c>
      <c r="L2" t="s">
        <v>2</v>
      </c>
    </row>
    <row r="3" spans="2:12" x14ac:dyDescent="0.3">
      <c r="B3" s="4">
        <v>11</v>
      </c>
      <c r="C3" s="5">
        <v>1</v>
      </c>
      <c r="D3" s="5">
        <v>324</v>
      </c>
      <c r="E3" s="5">
        <v>102</v>
      </c>
      <c r="F3" s="6">
        <f>E3/7</f>
        <v>14.571428571428571</v>
      </c>
      <c r="G3" s="7">
        <v>42194</v>
      </c>
      <c r="H3" s="8">
        <v>42296</v>
      </c>
      <c r="K3">
        <v>102</v>
      </c>
      <c r="L3">
        <v>324</v>
      </c>
    </row>
    <row r="4" spans="2:12" x14ac:dyDescent="0.3">
      <c r="B4" s="9">
        <v>12</v>
      </c>
      <c r="C4" s="10">
        <v>2</v>
      </c>
      <c r="D4" s="10">
        <v>494</v>
      </c>
      <c r="E4" s="10">
        <v>112</v>
      </c>
      <c r="F4" s="11">
        <f t="shared" ref="F4:F5" si="0">E4/7</f>
        <v>16</v>
      </c>
      <c r="G4" s="12">
        <v>42205</v>
      </c>
      <c r="H4" s="13">
        <v>42317</v>
      </c>
      <c r="K4" s="14">
        <v>112</v>
      </c>
      <c r="L4" s="14">
        <v>494</v>
      </c>
    </row>
    <row r="5" spans="2:12" x14ac:dyDescent="0.3">
      <c r="B5" s="9">
        <v>13</v>
      </c>
      <c r="C5" s="10">
        <v>3</v>
      </c>
      <c r="D5" s="10">
        <v>415</v>
      </c>
      <c r="E5" s="10">
        <v>122</v>
      </c>
      <c r="F5" s="11">
        <f t="shared" si="0"/>
        <v>17.428571428571427</v>
      </c>
      <c r="G5" s="12">
        <v>42205</v>
      </c>
      <c r="H5" s="13">
        <v>42327</v>
      </c>
      <c r="K5">
        <v>122</v>
      </c>
      <c r="L5">
        <v>415</v>
      </c>
    </row>
    <row r="6" spans="2:12" x14ac:dyDescent="0.3">
      <c r="B6" s="9"/>
      <c r="C6" s="10">
        <v>4</v>
      </c>
      <c r="D6" s="10">
        <v>414</v>
      </c>
      <c r="E6" s="10">
        <v>149</v>
      </c>
      <c r="F6" s="11">
        <v>21.285714285714285</v>
      </c>
      <c r="G6" s="12">
        <v>42178</v>
      </c>
      <c r="H6" s="13">
        <v>42327</v>
      </c>
      <c r="K6">
        <v>149</v>
      </c>
      <c r="L6">
        <v>414</v>
      </c>
    </row>
    <row r="7" spans="2:12" x14ac:dyDescent="0.3">
      <c r="B7" s="9">
        <v>14</v>
      </c>
      <c r="C7" s="15">
        <v>5</v>
      </c>
      <c r="D7" s="15">
        <v>394</v>
      </c>
      <c r="E7" s="15">
        <v>108</v>
      </c>
      <c r="F7" s="11">
        <f>E7/7</f>
        <v>15.428571428571429</v>
      </c>
      <c r="G7" s="12">
        <v>42698</v>
      </c>
      <c r="H7" s="13">
        <v>42440</v>
      </c>
      <c r="K7">
        <v>108</v>
      </c>
      <c r="L7">
        <v>394</v>
      </c>
    </row>
    <row r="8" spans="2:12" x14ac:dyDescent="0.3">
      <c r="B8" s="9"/>
      <c r="C8" s="15">
        <v>6</v>
      </c>
      <c r="D8" s="15">
        <v>413</v>
      </c>
      <c r="E8" s="15">
        <v>107</v>
      </c>
      <c r="F8" s="11">
        <f>E8/7</f>
        <v>15.285714285714286</v>
      </c>
      <c r="G8" s="12">
        <v>42699</v>
      </c>
      <c r="H8" s="13">
        <v>42440</v>
      </c>
      <c r="K8">
        <v>107</v>
      </c>
      <c r="L8">
        <v>413</v>
      </c>
    </row>
    <row r="9" spans="2:12" x14ac:dyDescent="0.3">
      <c r="B9" s="16">
        <v>42479</v>
      </c>
      <c r="C9" s="17">
        <v>7</v>
      </c>
      <c r="D9" s="17">
        <v>589</v>
      </c>
      <c r="E9" s="17">
        <v>201</v>
      </c>
      <c r="F9" s="18">
        <f>E9/7</f>
        <v>28.714285714285715</v>
      </c>
      <c r="G9" s="19">
        <v>42644</v>
      </c>
      <c r="H9" s="20">
        <v>42479</v>
      </c>
      <c r="K9">
        <v>201</v>
      </c>
      <c r="L9">
        <v>589</v>
      </c>
    </row>
    <row r="10" spans="2:12" x14ac:dyDescent="0.3">
      <c r="B10" s="21" t="s">
        <v>7</v>
      </c>
      <c r="C10" s="22"/>
      <c r="D10" s="23">
        <f>AVERAGE(D3:D9)</f>
        <v>434.71428571428572</v>
      </c>
      <c r="E10" s="23">
        <f>AVERAGE(E3:E9)</f>
        <v>128.71428571428572</v>
      </c>
      <c r="F10" s="23">
        <f>AVERAGE(F3:F9)</f>
        <v>18.387755102040817</v>
      </c>
      <c r="G10" s="22"/>
      <c r="H10" s="24"/>
    </row>
    <row r="11" spans="2:12" x14ac:dyDescent="0.3">
      <c r="B11" s="25"/>
      <c r="C11" s="26"/>
      <c r="D11" s="27">
        <f>STDEV(D3:D9)/SQRT(7)</f>
        <v>31.819217228492832</v>
      </c>
      <c r="E11" s="27">
        <f>STDEV(E3:E9)/SQRT(7)</f>
        <v>13.430091099422048</v>
      </c>
      <c r="F11" s="27">
        <f>STDEV(F3:F9)/SQRT(7)</f>
        <v>1.9185844427745802</v>
      </c>
      <c r="G11" s="26"/>
      <c r="H11" s="2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4"/>
  <sheetViews>
    <sheetView workbookViewId="0">
      <selection activeCell="D25" sqref="D25"/>
    </sheetView>
  </sheetViews>
  <sheetFormatPr defaultColWidth="11.5546875" defaultRowHeight="15.05" x14ac:dyDescent="0.3"/>
  <cols>
    <col min="2" max="2" width="22.5546875" bestFit="1" customWidth="1"/>
    <col min="11" max="11" width="15.33203125" customWidth="1"/>
    <col min="12" max="12" width="10" bestFit="1" customWidth="1"/>
  </cols>
  <sheetData>
    <row r="1" spans="1:12" x14ac:dyDescent="0.3">
      <c r="A1" s="348" t="s">
        <v>8</v>
      </c>
      <c r="B1" s="348"/>
    </row>
    <row r="2" spans="1:12" x14ac:dyDescent="0.3">
      <c r="A2" s="348"/>
      <c r="B2" s="348"/>
    </row>
    <row r="5" spans="1:12" x14ac:dyDescent="0.3">
      <c r="B5" s="349" t="s">
        <v>9</v>
      </c>
      <c r="C5" s="349"/>
      <c r="K5" s="350" t="s">
        <v>10</v>
      </c>
      <c r="L5" s="350"/>
    </row>
    <row r="6" spans="1:12" x14ac:dyDescent="0.3">
      <c r="B6" s="29" t="s">
        <v>11</v>
      </c>
      <c r="C6" s="30">
        <v>489</v>
      </c>
      <c r="K6" s="30">
        <v>20</v>
      </c>
      <c r="L6" s="30">
        <v>0.20449899999999999</v>
      </c>
    </row>
    <row r="7" spans="1:12" x14ac:dyDescent="0.3">
      <c r="B7" s="29" t="s">
        <v>12</v>
      </c>
      <c r="C7" s="30">
        <v>6</v>
      </c>
      <c r="K7" s="30">
        <v>30</v>
      </c>
      <c r="L7" s="30">
        <v>0</v>
      </c>
    </row>
    <row r="8" spans="1:12" x14ac:dyDescent="0.3">
      <c r="B8" s="29" t="s">
        <v>13</v>
      </c>
      <c r="C8" s="30">
        <v>483</v>
      </c>
      <c r="K8" s="30">
        <v>40</v>
      </c>
      <c r="L8" s="30">
        <v>0.61349699999999996</v>
      </c>
    </row>
    <row r="9" spans="1:12" x14ac:dyDescent="0.3">
      <c r="B9" s="29"/>
      <c r="C9" s="30"/>
      <c r="K9" s="30">
        <v>50</v>
      </c>
      <c r="L9" s="30">
        <v>1.4314929999999999</v>
      </c>
    </row>
    <row r="10" spans="1:12" x14ac:dyDescent="0.3">
      <c r="B10" s="29" t="s">
        <v>14</v>
      </c>
      <c r="C10" s="31">
        <v>23.18</v>
      </c>
      <c r="K10" s="30">
        <v>60</v>
      </c>
      <c r="L10" s="30">
        <v>3.067485</v>
      </c>
    </row>
    <row r="11" spans="1:12" x14ac:dyDescent="0.3">
      <c r="B11" s="29" t="s">
        <v>15</v>
      </c>
      <c r="C11" s="31">
        <v>81.58</v>
      </c>
      <c r="K11" s="30">
        <v>70</v>
      </c>
      <c r="L11" s="30">
        <v>8.1799590000000002</v>
      </c>
    </row>
    <row r="12" spans="1:12" x14ac:dyDescent="0.3">
      <c r="B12" s="29" t="s">
        <v>16</v>
      </c>
      <c r="C12" s="31">
        <v>92.3</v>
      </c>
      <c r="K12" s="30">
        <v>80</v>
      </c>
      <c r="L12" s="30">
        <v>18.81391</v>
      </c>
    </row>
    <row r="13" spans="1:12" x14ac:dyDescent="0.3">
      <c r="B13" s="29" t="s">
        <v>17</v>
      </c>
      <c r="C13" s="31">
        <v>103.97499999999999</v>
      </c>
      <c r="K13" s="30">
        <v>90</v>
      </c>
      <c r="L13" s="30">
        <v>25.153369999999999</v>
      </c>
    </row>
    <row r="14" spans="1:12" x14ac:dyDescent="0.3">
      <c r="B14" s="29" t="s">
        <v>18</v>
      </c>
      <c r="C14" s="31">
        <v>153.31</v>
      </c>
      <c r="K14" s="30">
        <v>100</v>
      </c>
      <c r="L14" s="30">
        <v>19.631900000000002</v>
      </c>
    </row>
    <row r="15" spans="1:12" x14ac:dyDescent="0.3">
      <c r="B15" s="29"/>
      <c r="C15" s="30"/>
      <c r="K15" s="30">
        <v>110</v>
      </c>
      <c r="L15" s="30">
        <v>13.496930000000001</v>
      </c>
    </row>
    <row r="16" spans="1:12" x14ac:dyDescent="0.3">
      <c r="B16" s="29" t="s">
        <v>19</v>
      </c>
      <c r="C16" s="32">
        <v>93.054299999999998</v>
      </c>
      <c r="K16" s="30">
        <v>120</v>
      </c>
      <c r="L16" s="30">
        <v>4.2944779999999998</v>
      </c>
    </row>
    <row r="17" spans="2:12" x14ac:dyDescent="0.3">
      <c r="B17" s="29" t="s">
        <v>20</v>
      </c>
      <c r="C17" s="32">
        <v>18.447099999999999</v>
      </c>
      <c r="K17" s="30">
        <v>130</v>
      </c>
      <c r="L17" s="30">
        <v>2.4539879999999998</v>
      </c>
    </row>
    <row r="18" spans="2:12" x14ac:dyDescent="0.3">
      <c r="B18" s="29" t="s">
        <v>21</v>
      </c>
      <c r="C18" s="31">
        <v>0.83420799999999995</v>
      </c>
      <c r="K18" s="30">
        <v>140</v>
      </c>
      <c r="L18" s="30">
        <v>1.4314929999999999</v>
      </c>
    </row>
    <row r="19" spans="2:12" x14ac:dyDescent="0.3">
      <c r="B19" s="29"/>
      <c r="C19" s="30"/>
    </row>
    <row r="20" spans="2:12" x14ac:dyDescent="0.3">
      <c r="B20" s="29" t="s">
        <v>22</v>
      </c>
      <c r="C20" s="31">
        <v>91.415199999999999</v>
      </c>
    </row>
    <row r="21" spans="2:12" x14ac:dyDescent="0.3">
      <c r="B21" s="29" t="s">
        <v>23</v>
      </c>
      <c r="C21" s="31">
        <v>94.693399999999997</v>
      </c>
    </row>
    <row r="27" spans="2:12" x14ac:dyDescent="0.3">
      <c r="B27" s="349" t="s">
        <v>24</v>
      </c>
      <c r="C27" s="349"/>
      <c r="K27" s="350" t="s">
        <v>10</v>
      </c>
      <c r="L27" s="350"/>
    </row>
    <row r="28" spans="2:12" x14ac:dyDescent="0.3">
      <c r="B28" s="29" t="s">
        <v>11</v>
      </c>
      <c r="C28" s="30">
        <v>489</v>
      </c>
      <c r="K28" s="30">
        <v>0</v>
      </c>
      <c r="L28" s="30">
        <v>0.8179959</v>
      </c>
    </row>
    <row r="29" spans="2:12" x14ac:dyDescent="0.3">
      <c r="B29" s="29" t="s">
        <v>12</v>
      </c>
      <c r="C29" s="30">
        <v>7</v>
      </c>
      <c r="K29" s="30">
        <v>100</v>
      </c>
      <c r="L29" s="30">
        <v>5.1124739999999997</v>
      </c>
    </row>
    <row r="30" spans="2:12" x14ac:dyDescent="0.3">
      <c r="B30" s="29" t="s">
        <v>13</v>
      </c>
      <c r="C30" s="30">
        <v>482</v>
      </c>
      <c r="K30" s="30">
        <v>200</v>
      </c>
      <c r="L30" s="30">
        <v>11.04294</v>
      </c>
    </row>
    <row r="31" spans="2:12" x14ac:dyDescent="0.3">
      <c r="B31" s="29"/>
      <c r="C31" s="30"/>
      <c r="K31" s="30">
        <v>300</v>
      </c>
      <c r="L31" s="30">
        <v>20.2454</v>
      </c>
    </row>
    <row r="32" spans="2:12" x14ac:dyDescent="0.3">
      <c r="B32" s="29" t="s">
        <v>14</v>
      </c>
      <c r="C32" s="31">
        <v>7</v>
      </c>
      <c r="K32" s="30">
        <v>400</v>
      </c>
      <c r="L32" s="30">
        <v>20.2454</v>
      </c>
    </row>
    <row r="33" spans="2:12" x14ac:dyDescent="0.3">
      <c r="B33" s="29" t="s">
        <v>15</v>
      </c>
      <c r="C33" s="31">
        <v>284</v>
      </c>
      <c r="K33" s="30">
        <v>500</v>
      </c>
      <c r="L33" s="30">
        <v>12.065440000000001</v>
      </c>
    </row>
    <row r="34" spans="2:12" x14ac:dyDescent="0.3">
      <c r="B34" s="29" t="s">
        <v>16</v>
      </c>
      <c r="C34" s="31">
        <v>411.57</v>
      </c>
      <c r="K34" s="30">
        <v>600</v>
      </c>
      <c r="L34" s="30">
        <v>11.247439999999999</v>
      </c>
    </row>
    <row r="35" spans="2:12" x14ac:dyDescent="0.3">
      <c r="B35" s="29" t="s">
        <v>17</v>
      </c>
      <c r="C35" s="31">
        <v>588.20000000000005</v>
      </c>
      <c r="K35" s="30">
        <v>700</v>
      </c>
      <c r="L35" s="30">
        <v>7.7709609999999998</v>
      </c>
    </row>
    <row r="36" spans="2:12" x14ac:dyDescent="0.3">
      <c r="B36" s="29" t="s">
        <v>18</v>
      </c>
      <c r="C36" s="31">
        <v>1885.72</v>
      </c>
      <c r="K36" s="30">
        <v>800</v>
      </c>
      <c r="L36" s="30">
        <v>3.067485</v>
      </c>
    </row>
    <row r="37" spans="2:12" x14ac:dyDescent="0.3">
      <c r="B37" s="29"/>
      <c r="C37" s="30"/>
      <c r="K37" s="30">
        <v>900</v>
      </c>
      <c r="L37" s="30">
        <v>2.2494890000000001</v>
      </c>
    </row>
    <row r="38" spans="2:12" x14ac:dyDescent="0.3">
      <c r="B38" s="29" t="s">
        <v>19</v>
      </c>
      <c r="C38" s="32">
        <v>471.84399999999999</v>
      </c>
      <c r="K38" s="30">
        <v>1000</v>
      </c>
      <c r="L38" s="30">
        <v>1.6359919999999999</v>
      </c>
    </row>
    <row r="39" spans="2:12" x14ac:dyDescent="0.3">
      <c r="B39" s="29" t="s">
        <v>20</v>
      </c>
      <c r="C39" s="32">
        <v>285.44299999999998</v>
      </c>
      <c r="K39" s="30">
        <v>1100</v>
      </c>
      <c r="L39" s="30">
        <v>1.2269939999999999</v>
      </c>
    </row>
    <row r="40" spans="2:12" x14ac:dyDescent="0.3">
      <c r="B40" s="29" t="s">
        <v>21</v>
      </c>
      <c r="C40" s="31">
        <v>12.908200000000001</v>
      </c>
      <c r="K40" s="30">
        <v>1200</v>
      </c>
      <c r="L40" s="30">
        <v>0.61349699999999996</v>
      </c>
    </row>
    <row r="41" spans="2:12" x14ac:dyDescent="0.3">
      <c r="B41" s="29"/>
      <c r="C41" s="30"/>
      <c r="K41" s="30">
        <v>1300</v>
      </c>
      <c r="L41" s="30">
        <v>1.2269939999999999</v>
      </c>
    </row>
    <row r="42" spans="2:12" x14ac:dyDescent="0.3">
      <c r="B42" s="29" t="s">
        <v>22</v>
      </c>
      <c r="C42" s="31">
        <v>446.48200000000003</v>
      </c>
      <c r="K42" s="30">
        <v>1400</v>
      </c>
      <c r="L42" s="30">
        <v>0</v>
      </c>
    </row>
    <row r="43" spans="2:12" x14ac:dyDescent="0.3">
      <c r="B43" s="29" t="s">
        <v>23</v>
      </c>
      <c r="C43" s="31">
        <v>497.20600000000002</v>
      </c>
    </row>
    <row r="44" spans="2:12" x14ac:dyDescent="0.3">
      <c r="B44" s="29"/>
      <c r="C44" s="30"/>
    </row>
  </sheetData>
  <mergeCells count="5">
    <mergeCell ref="A1:B2"/>
    <mergeCell ref="B5:C5"/>
    <mergeCell ref="K5:L5"/>
    <mergeCell ref="B27:C27"/>
    <mergeCell ref="K27:L27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rism5.Document" shapeId="2049" r:id="rId3">
          <objectPr defaultSize="0" r:id="rId4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9</xdr:col>
                <xdr:colOff>580445</xdr:colOff>
                <xdr:row>19</xdr:row>
                <xdr:rowOff>55659</xdr:rowOff>
              </to>
            </anchor>
          </objectPr>
        </oleObject>
      </mc:Choice>
      <mc:Fallback>
        <oleObject progId="Prism5.Document" shapeId="2049" r:id="rId3"/>
      </mc:Fallback>
    </mc:AlternateContent>
    <mc:AlternateContent xmlns:mc="http://schemas.openxmlformats.org/markup-compatibility/2006">
      <mc:Choice Requires="x14">
        <oleObject progId="Prism5.Document" shapeId="2050" r:id="rId5">
          <objectPr defaultSize="0" r:id="rId6">
            <anchor moveWithCells="1">
              <from>
                <xdr:col>4</xdr:col>
                <xdr:colOff>588397</xdr:colOff>
                <xdr:row>25</xdr:row>
                <xdr:rowOff>143123</xdr:rowOff>
              </from>
              <to>
                <xdr:col>9</xdr:col>
                <xdr:colOff>262393</xdr:colOff>
                <xdr:row>41</xdr:row>
                <xdr:rowOff>151075</xdr:rowOff>
              </to>
            </anchor>
          </objectPr>
        </oleObject>
      </mc:Choice>
      <mc:Fallback>
        <oleObject progId="Prism5.Document" shapeId="2050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A16" workbookViewId="0">
      <selection activeCell="C29" sqref="C29"/>
    </sheetView>
  </sheetViews>
  <sheetFormatPr defaultColWidth="11.5546875" defaultRowHeight="15.05" x14ac:dyDescent="0.3"/>
  <cols>
    <col min="2" max="2" width="33.6640625" bestFit="1" customWidth="1"/>
    <col min="3" max="3" width="16.6640625" bestFit="1" customWidth="1"/>
    <col min="6" max="6" width="18" bestFit="1" customWidth="1"/>
    <col min="7" max="7" width="23" customWidth="1"/>
    <col min="11" max="11" width="18" bestFit="1" customWidth="1"/>
    <col min="12" max="12" width="25.6640625" bestFit="1" customWidth="1"/>
    <col min="17" max="17" width="15" bestFit="1" customWidth="1"/>
    <col min="18" max="18" width="25.6640625" bestFit="1" customWidth="1"/>
  </cols>
  <sheetData>
    <row r="1" spans="1:26" x14ac:dyDescent="0.3">
      <c r="A1" t="s">
        <v>25</v>
      </c>
      <c r="E1" t="s">
        <v>26</v>
      </c>
      <c r="J1" t="s">
        <v>27</v>
      </c>
      <c r="K1" s="33"/>
      <c r="L1" s="33"/>
      <c r="M1" s="33"/>
      <c r="P1" s="33" t="s">
        <v>28</v>
      </c>
      <c r="Q1" s="33"/>
      <c r="R1" s="33"/>
      <c r="S1" s="33"/>
      <c r="U1" s="33"/>
      <c r="V1" s="33"/>
      <c r="W1" s="33"/>
      <c r="X1" s="33"/>
    </row>
    <row r="2" spans="1:26" x14ac:dyDescent="0.3">
      <c r="E2" s="34"/>
      <c r="J2" s="14"/>
      <c r="P2" s="33"/>
      <c r="U2" s="35"/>
      <c r="V2" s="36"/>
      <c r="W2" s="36"/>
      <c r="X2" s="37"/>
    </row>
    <row r="3" spans="1:26" x14ac:dyDescent="0.3">
      <c r="A3" s="38">
        <v>197500</v>
      </c>
      <c r="B3" s="3" t="s">
        <v>29</v>
      </c>
      <c r="C3" s="33" t="s">
        <v>30</v>
      </c>
      <c r="E3" s="38">
        <v>140000</v>
      </c>
      <c r="F3" s="3" t="s">
        <v>31</v>
      </c>
      <c r="G3" s="33" t="s">
        <v>30</v>
      </c>
      <c r="H3" s="33"/>
      <c r="J3" s="38">
        <v>347500</v>
      </c>
      <c r="K3" s="3" t="s">
        <v>29</v>
      </c>
      <c r="L3" s="33" t="s">
        <v>30</v>
      </c>
      <c r="M3" s="33"/>
      <c r="P3" s="38">
        <v>180000</v>
      </c>
      <c r="Q3" s="3" t="s">
        <v>29</v>
      </c>
      <c r="R3" s="33" t="s">
        <v>30</v>
      </c>
      <c r="S3" s="39"/>
      <c r="W3" s="33"/>
    </row>
    <row r="4" spans="1:26" x14ac:dyDescent="0.3">
      <c r="A4" s="40">
        <f>A3/2</f>
        <v>98750</v>
      </c>
      <c r="B4" s="41" t="s">
        <v>32</v>
      </c>
      <c r="C4" s="33">
        <v>9.4899999999999998E-2</v>
      </c>
      <c r="E4" s="40">
        <f>E3/2</f>
        <v>70000</v>
      </c>
      <c r="F4" s="41" t="s">
        <v>33</v>
      </c>
      <c r="G4" s="33">
        <v>9.5100000000000004E-2</v>
      </c>
      <c r="H4" s="33"/>
      <c r="J4" s="40">
        <f>J3/2</f>
        <v>173750</v>
      </c>
      <c r="K4" s="41" t="s">
        <v>33</v>
      </c>
      <c r="L4" s="33">
        <v>8.9800000000000005E-2</v>
      </c>
      <c r="M4" s="33"/>
      <c r="P4" s="40">
        <f>P3/2</f>
        <v>90000</v>
      </c>
      <c r="Q4" s="41" t="s">
        <v>33</v>
      </c>
      <c r="R4" s="33">
        <v>0.10630000000000001</v>
      </c>
      <c r="S4" s="33"/>
      <c r="W4" s="33"/>
    </row>
    <row r="5" spans="1:26" x14ac:dyDescent="0.3">
      <c r="A5" s="42">
        <f>A4/$C$4*$C$6</f>
        <v>4183087.4604847203</v>
      </c>
      <c r="B5" s="41" t="s">
        <v>34</v>
      </c>
      <c r="C5" s="33" t="s">
        <v>35</v>
      </c>
      <c r="E5" s="42">
        <f>E4/$G$4*$G$6</f>
        <v>2984642.4815983176</v>
      </c>
      <c r="F5" s="41" t="s">
        <v>34</v>
      </c>
      <c r="G5" s="33" t="s">
        <v>35</v>
      </c>
      <c r="H5" s="43"/>
      <c r="I5" s="44"/>
      <c r="J5" s="42">
        <f>J4/$L$4*$L$8</f>
        <v>10915679.287305122</v>
      </c>
      <c r="K5" s="41" t="s">
        <v>34</v>
      </c>
      <c r="L5" s="33"/>
      <c r="P5" s="42">
        <f>P4/$R$4*$R$8</f>
        <v>3659096.8955785516</v>
      </c>
      <c r="Q5" s="41" t="s">
        <v>34</v>
      </c>
      <c r="R5" s="33"/>
      <c r="S5" s="33"/>
      <c r="U5" s="33"/>
      <c r="V5" s="33"/>
      <c r="W5" s="33"/>
    </row>
    <row r="6" spans="1:26" x14ac:dyDescent="0.3">
      <c r="A6" s="38">
        <v>205000</v>
      </c>
      <c r="B6" s="3" t="s">
        <v>29</v>
      </c>
      <c r="C6" s="33">
        <v>4.0199999999999996</v>
      </c>
      <c r="E6" s="38">
        <v>127500</v>
      </c>
      <c r="F6" s="3" t="s">
        <v>29</v>
      </c>
      <c r="G6" s="33">
        <v>4.0548500000000001</v>
      </c>
      <c r="H6" s="33"/>
      <c r="J6" s="38">
        <v>292500</v>
      </c>
      <c r="K6" s="3" t="s">
        <v>29</v>
      </c>
      <c r="L6" s="33"/>
      <c r="P6" s="38">
        <v>192500</v>
      </c>
      <c r="Q6" s="3" t="s">
        <v>29</v>
      </c>
      <c r="R6" s="33"/>
      <c r="S6" s="33"/>
      <c r="U6" s="33"/>
      <c r="V6" s="33"/>
      <c r="W6" s="33"/>
    </row>
    <row r="7" spans="1:26" x14ac:dyDescent="0.3">
      <c r="A7" s="40">
        <f>A6/2</f>
        <v>102500</v>
      </c>
      <c r="B7" s="41" t="s">
        <v>33</v>
      </c>
      <c r="C7" s="33" t="s">
        <v>36</v>
      </c>
      <c r="E7" s="40">
        <f>E6/2</f>
        <v>63750</v>
      </c>
      <c r="F7" s="41" t="s">
        <v>33</v>
      </c>
      <c r="H7" s="33"/>
      <c r="J7" s="40">
        <f>J6/2</f>
        <v>146250</v>
      </c>
      <c r="K7" s="41" t="s">
        <v>33</v>
      </c>
      <c r="L7" s="33" t="s">
        <v>35</v>
      </c>
      <c r="M7" s="33"/>
      <c r="P7" s="40">
        <f>P6/2</f>
        <v>96250</v>
      </c>
      <c r="Q7" s="41" t="s">
        <v>33</v>
      </c>
      <c r="R7" s="33" t="s">
        <v>35</v>
      </c>
      <c r="S7" s="33"/>
      <c r="U7" s="33"/>
      <c r="V7" s="33"/>
      <c r="W7" s="33"/>
    </row>
    <row r="8" spans="1:26" x14ac:dyDescent="0.3">
      <c r="A8" s="42">
        <f>A7/$C$4*$C$6</f>
        <v>4341938.8830347732</v>
      </c>
      <c r="B8" s="41" t="s">
        <v>34</v>
      </c>
      <c r="C8" s="33">
        <v>0.37590000000000001</v>
      </c>
      <c r="E8" s="42">
        <f>E7/$G$4*$G$6</f>
        <v>2718156.5457413248</v>
      </c>
      <c r="F8" s="41" t="s">
        <v>34</v>
      </c>
      <c r="J8" s="42">
        <f>J7/$L$4*$L$8</f>
        <v>9188017.8173719365</v>
      </c>
      <c r="K8" s="41" t="s">
        <v>34</v>
      </c>
      <c r="L8" s="33">
        <v>5.6416000000000004</v>
      </c>
      <c r="M8" s="45"/>
      <c r="P8" s="42">
        <f>P7/$R$4*$R$8</f>
        <v>3913200.8466603952</v>
      </c>
      <c r="Q8" s="41" t="s">
        <v>34</v>
      </c>
      <c r="R8" s="33">
        <v>4.3218000000000005</v>
      </c>
      <c r="S8" s="46"/>
      <c r="U8" s="33"/>
      <c r="V8" s="33"/>
      <c r="W8" s="33"/>
    </row>
    <row r="9" spans="1:26" x14ac:dyDescent="0.3">
      <c r="C9" s="47">
        <v>0.37619999999999998</v>
      </c>
      <c r="E9" s="38">
        <v>150000</v>
      </c>
      <c r="F9" s="3" t="s">
        <v>29</v>
      </c>
      <c r="J9" s="38">
        <v>325000</v>
      </c>
      <c r="K9" s="3" t="s">
        <v>29</v>
      </c>
      <c r="P9" s="38">
        <v>357500</v>
      </c>
      <c r="Q9" s="3" t="s">
        <v>29</v>
      </c>
      <c r="S9" s="33"/>
      <c r="U9" s="33"/>
      <c r="V9" s="33"/>
      <c r="W9" s="33"/>
    </row>
    <row r="10" spans="1:26" x14ac:dyDescent="0.3">
      <c r="C10" s="33">
        <f>AVERAGE(C8:C9)</f>
        <v>0.37605</v>
      </c>
      <c r="E10" s="40">
        <f>E9/2</f>
        <v>75000</v>
      </c>
      <c r="F10" s="41" t="s">
        <v>33</v>
      </c>
      <c r="H10" s="36"/>
      <c r="J10" s="40">
        <f>J9/2</f>
        <v>162500</v>
      </c>
      <c r="K10" s="41" t="s">
        <v>33</v>
      </c>
      <c r="M10" s="36"/>
      <c r="P10" s="40">
        <f>P9/2</f>
        <v>178750</v>
      </c>
      <c r="Q10" s="41" t="s">
        <v>33</v>
      </c>
      <c r="R10" s="33" t="s">
        <v>36</v>
      </c>
      <c r="S10" s="36"/>
      <c r="U10" s="33"/>
      <c r="V10" s="33"/>
      <c r="W10" s="33"/>
    </row>
    <row r="11" spans="1:26" x14ac:dyDescent="0.3">
      <c r="E11" s="42">
        <f>E10/$G$4*$G$6</f>
        <v>3197831.2302839113</v>
      </c>
      <c r="F11" s="41" t="s">
        <v>34</v>
      </c>
      <c r="H11" s="36"/>
      <c r="J11" s="42">
        <f>J10/$L$4*$L$8</f>
        <v>10208908.68596882</v>
      </c>
      <c r="K11" s="41" t="s">
        <v>34</v>
      </c>
      <c r="M11" s="36"/>
      <c r="P11" s="42">
        <f>P10/$R$4*$R$8</f>
        <v>7267373.0009407336</v>
      </c>
      <c r="Q11" s="41" t="s">
        <v>34</v>
      </c>
      <c r="R11" s="33">
        <v>0.37769999999999998</v>
      </c>
      <c r="S11" s="36"/>
      <c r="U11" s="33"/>
      <c r="V11" s="33"/>
      <c r="W11" s="33"/>
    </row>
    <row r="12" spans="1:26" x14ac:dyDescent="0.3">
      <c r="E12" s="38">
        <v>125000</v>
      </c>
      <c r="F12" s="3" t="s">
        <v>29</v>
      </c>
      <c r="J12" s="38">
        <v>315000</v>
      </c>
      <c r="K12" s="3" t="s">
        <v>29</v>
      </c>
      <c r="L12" s="33" t="s">
        <v>36</v>
      </c>
      <c r="P12" s="38">
        <v>250000</v>
      </c>
      <c r="Q12" s="3" t="s">
        <v>29</v>
      </c>
      <c r="R12" s="33">
        <v>0.3614</v>
      </c>
      <c r="U12" s="33"/>
      <c r="V12" s="33"/>
      <c r="W12" s="33"/>
      <c r="X12" s="48"/>
      <c r="Y12" s="49"/>
    </row>
    <row r="13" spans="1:26" x14ac:dyDescent="0.3">
      <c r="A13" s="50" t="s">
        <v>37</v>
      </c>
      <c r="B13" s="2" t="s">
        <v>38</v>
      </c>
      <c r="C13" s="3"/>
      <c r="E13" s="40">
        <f>E12/2</f>
        <v>62500</v>
      </c>
      <c r="F13" s="41" t="s">
        <v>33</v>
      </c>
      <c r="J13" s="40">
        <f>J12/2</f>
        <v>157500</v>
      </c>
      <c r="K13" s="41" t="s">
        <v>33</v>
      </c>
      <c r="L13" s="33">
        <v>0.36620000000000003</v>
      </c>
      <c r="P13" s="40">
        <f>P12/2</f>
        <v>125000</v>
      </c>
      <c r="Q13" s="41" t="s">
        <v>33</v>
      </c>
      <c r="R13" s="33">
        <v>0.35420000000000001</v>
      </c>
      <c r="U13" s="33"/>
      <c r="V13" s="33"/>
      <c r="W13" s="33"/>
      <c r="X13" s="48"/>
      <c r="Y13" s="49"/>
      <c r="Z13" s="48"/>
    </row>
    <row r="14" spans="1:26" x14ac:dyDescent="0.3">
      <c r="A14" s="51">
        <f>AVERAGE(A5,A8)</f>
        <v>4262513.171759747</v>
      </c>
      <c r="B14" s="52">
        <f>STDEV(A8,A5)</f>
        <v>112324.91808627204</v>
      </c>
      <c r="C14" s="53" t="s">
        <v>34</v>
      </c>
      <c r="E14" s="42">
        <f>E13/$G$4*$G$6</f>
        <v>2664859.3585699266</v>
      </c>
      <c r="F14" s="41" t="s">
        <v>34</v>
      </c>
      <c r="G14" s="33" t="s">
        <v>36</v>
      </c>
      <c r="J14" s="42">
        <f>J13/$L$4*$L$8</f>
        <v>9894788.4187082406</v>
      </c>
      <c r="K14" s="41" t="s">
        <v>34</v>
      </c>
      <c r="L14" s="33">
        <v>0.35659999999999997</v>
      </c>
      <c r="P14" s="42">
        <f>P13/$R$4*$R$8</f>
        <v>5082079.0216368772</v>
      </c>
      <c r="Q14" s="41" t="s">
        <v>34</v>
      </c>
      <c r="R14" s="33">
        <v>0.39439999999999997</v>
      </c>
      <c r="U14" s="39"/>
      <c r="V14" s="46"/>
      <c r="W14" s="33"/>
      <c r="X14" s="49"/>
      <c r="Y14" s="49"/>
      <c r="Z14" s="48"/>
    </row>
    <row r="15" spans="1:26" x14ac:dyDescent="0.3">
      <c r="A15" s="54"/>
      <c r="B15" s="54"/>
      <c r="C15" s="55"/>
      <c r="E15" s="38">
        <v>162500</v>
      </c>
      <c r="F15" s="3" t="s">
        <v>29</v>
      </c>
      <c r="G15" s="33">
        <v>0.37209999999999999</v>
      </c>
      <c r="J15" s="38">
        <v>347500</v>
      </c>
      <c r="K15" s="3" t="s">
        <v>29</v>
      </c>
      <c r="L15" s="33">
        <v>0.38040000000000002</v>
      </c>
      <c r="P15" s="38">
        <v>240000</v>
      </c>
      <c r="Q15" s="3" t="s">
        <v>29</v>
      </c>
      <c r="R15" s="33">
        <v>0.39</v>
      </c>
      <c r="T15" s="33"/>
      <c r="U15" s="33"/>
      <c r="V15" s="33"/>
      <c r="W15" s="33"/>
      <c r="X15" s="49"/>
      <c r="Y15" s="49"/>
    </row>
    <row r="16" spans="1:26" x14ac:dyDescent="0.3">
      <c r="A16" s="56"/>
      <c r="B16" s="56"/>
      <c r="E16" s="40">
        <f>E15/2</f>
        <v>81250</v>
      </c>
      <c r="F16" s="41" t="s">
        <v>33</v>
      </c>
      <c r="G16" s="57">
        <v>0.38009999999999999</v>
      </c>
      <c r="J16" s="40">
        <f>J15/2</f>
        <v>173750</v>
      </c>
      <c r="K16" s="41" t="s">
        <v>33</v>
      </c>
      <c r="L16" s="47">
        <v>0.36130000000000001</v>
      </c>
      <c r="P16" s="40">
        <f>P15/2</f>
        <v>120000</v>
      </c>
      <c r="Q16" s="41" t="s">
        <v>33</v>
      </c>
      <c r="R16" s="33">
        <v>0.41289999999999999</v>
      </c>
      <c r="S16" s="33"/>
      <c r="T16" s="33"/>
      <c r="U16" s="33"/>
      <c r="V16" s="33"/>
      <c r="W16" s="33"/>
      <c r="X16" s="49"/>
      <c r="Y16" s="48"/>
    </row>
    <row r="17" spans="1:25" x14ac:dyDescent="0.3">
      <c r="A17" s="58" t="s">
        <v>39</v>
      </c>
      <c r="B17" s="59" t="s">
        <v>40</v>
      </c>
      <c r="C17" s="60" t="s">
        <v>41</v>
      </c>
      <c r="E17" s="42">
        <f>E16/$G$4*$G$6</f>
        <v>3464317.1661409042</v>
      </c>
      <c r="F17" s="41" t="s">
        <v>34</v>
      </c>
      <c r="G17" s="33">
        <f>AVERAGE(G15:G16)</f>
        <v>0.37609999999999999</v>
      </c>
      <c r="J17" s="42">
        <f>J16/$L$4*$L$8</f>
        <v>10915679.287305122</v>
      </c>
      <c r="K17" s="41" t="s">
        <v>34</v>
      </c>
      <c r="L17" s="33">
        <f>AVERAGE(L13:L16)</f>
        <v>0.36612499999999998</v>
      </c>
      <c r="P17" s="42">
        <f>P16/$R$4*$R$8</f>
        <v>4878795.8607714018</v>
      </c>
      <c r="Q17" s="41" t="s">
        <v>34</v>
      </c>
      <c r="R17" s="33">
        <v>0.39190000000000003</v>
      </c>
      <c r="S17" s="33"/>
      <c r="T17" s="33"/>
      <c r="U17" s="33"/>
      <c r="V17" s="33"/>
      <c r="W17" s="33"/>
      <c r="X17" s="49"/>
      <c r="Y17" s="48"/>
    </row>
    <row r="18" spans="1:25" x14ac:dyDescent="0.3">
      <c r="A18" s="61">
        <f>AVERAGE(A4,A7)</f>
        <v>100625</v>
      </c>
      <c r="B18" s="62">
        <f>C4</f>
        <v>9.4899999999999998E-2</v>
      </c>
      <c r="C18" s="63">
        <v>100</v>
      </c>
      <c r="P18" s="38">
        <v>267500</v>
      </c>
      <c r="Q18" s="3" t="s">
        <v>29</v>
      </c>
      <c r="R18" s="33">
        <v>0.37869999999999998</v>
      </c>
      <c r="S18" s="33"/>
      <c r="T18" s="33"/>
      <c r="U18" s="33"/>
      <c r="V18" s="33"/>
      <c r="W18" s="33"/>
    </row>
    <row r="19" spans="1:25" x14ac:dyDescent="0.3">
      <c r="A19" s="64">
        <f>A18*B19/B18</f>
        <v>398735.84035827185</v>
      </c>
      <c r="B19" s="62">
        <f>C10</f>
        <v>0.37605</v>
      </c>
      <c r="C19" s="41"/>
      <c r="E19" s="50" t="s">
        <v>37</v>
      </c>
      <c r="F19" s="2" t="s">
        <v>38</v>
      </c>
      <c r="G19" s="3"/>
      <c r="J19" s="50" t="s">
        <v>37</v>
      </c>
      <c r="K19" s="2" t="s">
        <v>38</v>
      </c>
      <c r="L19" s="3"/>
      <c r="P19" s="40">
        <f>P18/2</f>
        <v>133750</v>
      </c>
      <c r="Q19" s="41" t="s">
        <v>33</v>
      </c>
      <c r="R19" s="33">
        <v>0.38829999999999998</v>
      </c>
      <c r="S19" s="33"/>
      <c r="T19" s="33"/>
      <c r="U19" s="33"/>
      <c r="V19" s="33"/>
      <c r="W19" s="33"/>
    </row>
    <row r="20" spans="1:25" x14ac:dyDescent="0.3">
      <c r="A20" s="65">
        <f>C20*A18/C18</f>
        <v>402500</v>
      </c>
      <c r="B20" s="66"/>
      <c r="C20" s="67">
        <v>400</v>
      </c>
      <c r="E20" s="51">
        <f>AVERAGE(E5,A5,A8,E8,E11,E14,E17)</f>
        <v>3364976.1608362682</v>
      </c>
      <c r="F20" s="52">
        <f>STDEV(E17,E14,E11,E8,A8,A5,E5)</f>
        <v>672651.61626359646</v>
      </c>
      <c r="G20" s="53" t="s">
        <v>34</v>
      </c>
      <c r="J20" s="51">
        <f>AVERAGE(J17,J14,J11,J8,J5)</f>
        <v>10224614.699331848</v>
      </c>
      <c r="K20" s="52">
        <f>STDEV(J5,J8,J11,J14,J17)</f>
        <v>731215.71362972562</v>
      </c>
      <c r="L20" s="53" t="s">
        <v>34</v>
      </c>
      <c r="P20" s="42">
        <f>P19/$R$4*$R$8</f>
        <v>5437824.5531514585</v>
      </c>
      <c r="Q20" s="41" t="s">
        <v>34</v>
      </c>
      <c r="R20" s="33">
        <v>0.38829999999999998</v>
      </c>
      <c r="S20" s="33"/>
      <c r="T20" s="33"/>
      <c r="U20" s="33"/>
      <c r="V20" s="33"/>
      <c r="W20" s="33"/>
    </row>
    <row r="21" spans="1:25" x14ac:dyDescent="0.3">
      <c r="E21" s="54"/>
      <c r="F21" s="54"/>
      <c r="G21" s="55"/>
      <c r="J21" s="54"/>
      <c r="K21" s="54"/>
      <c r="L21" s="55"/>
      <c r="P21" s="38">
        <v>375000</v>
      </c>
      <c r="Q21" s="3" t="s">
        <v>29</v>
      </c>
      <c r="R21" s="33">
        <v>0.36159999999999998</v>
      </c>
      <c r="S21" s="33"/>
      <c r="T21" s="33"/>
      <c r="U21" s="33"/>
      <c r="V21" s="33"/>
      <c r="W21" s="33"/>
    </row>
    <row r="22" spans="1:25" x14ac:dyDescent="0.3">
      <c r="E22" s="56"/>
      <c r="F22" s="56"/>
      <c r="I22" s="15"/>
      <c r="J22" s="56"/>
      <c r="K22" s="56"/>
      <c r="P22" s="40">
        <f>P21/2</f>
        <v>187500</v>
      </c>
      <c r="Q22" s="41" t="s">
        <v>33</v>
      </c>
      <c r="R22" s="47">
        <v>0.36480000000000001</v>
      </c>
      <c r="S22" s="33"/>
      <c r="T22" s="33"/>
      <c r="U22" s="33"/>
      <c r="V22" s="33"/>
      <c r="W22" s="33"/>
    </row>
    <row r="23" spans="1:25" x14ac:dyDescent="0.3">
      <c r="E23" s="58" t="s">
        <v>39</v>
      </c>
      <c r="F23" s="59" t="s">
        <v>40</v>
      </c>
      <c r="G23" s="60" t="s">
        <v>41</v>
      </c>
      <c r="I23" s="68"/>
      <c r="J23" s="58" t="s">
        <v>39</v>
      </c>
      <c r="K23" s="59" t="s">
        <v>40</v>
      </c>
      <c r="L23" s="60" t="s">
        <v>41</v>
      </c>
      <c r="P23" s="42">
        <f>P22/$R$4*$R$8</f>
        <v>7623118.5324553158</v>
      </c>
      <c r="Q23" s="41" t="s">
        <v>34</v>
      </c>
      <c r="R23" s="33">
        <f>AVERAGE(R11:R22)</f>
        <v>0.38034999999999997</v>
      </c>
      <c r="S23" s="33"/>
      <c r="T23" s="33"/>
      <c r="U23" s="33"/>
      <c r="V23" s="33"/>
      <c r="W23" s="33"/>
    </row>
    <row r="24" spans="1:25" x14ac:dyDescent="0.3">
      <c r="E24" s="61">
        <f>AVERAGE(A4,A7,E7,E10,E13,E16,E4)</f>
        <v>79107.142857142855</v>
      </c>
      <c r="F24" s="62">
        <v>9.5100000000000004E-2</v>
      </c>
      <c r="G24" s="63">
        <v>100</v>
      </c>
      <c r="J24" s="61">
        <f>AVERAGE(J7,J10,J13,J16,J4)</f>
        <v>162750</v>
      </c>
      <c r="K24" s="62">
        <v>8.9800000000000005E-2</v>
      </c>
      <c r="L24" s="63">
        <v>100</v>
      </c>
      <c r="T24" s="33"/>
      <c r="U24" s="33"/>
      <c r="V24" s="33"/>
      <c r="W24" s="33"/>
    </row>
    <row r="25" spans="1:25" x14ac:dyDescent="0.3">
      <c r="E25" s="64">
        <f>E24*F25/F24</f>
        <v>312830.90168243943</v>
      </c>
      <c r="F25" s="62">
        <v>0.37607499999999994</v>
      </c>
      <c r="G25" s="41"/>
      <c r="I25" s="69"/>
      <c r="J25" s="64">
        <f>J24*K25/K24</f>
        <v>663550.59855233855</v>
      </c>
      <c r="K25" s="62">
        <v>0.36612499999999998</v>
      </c>
      <c r="L25" s="41"/>
      <c r="P25" s="50" t="s">
        <v>37</v>
      </c>
      <c r="Q25" s="2" t="s">
        <v>38</v>
      </c>
      <c r="R25" s="3"/>
    </row>
    <row r="26" spans="1:25" x14ac:dyDescent="0.3">
      <c r="E26" s="65">
        <f>G26*E24/G24</f>
        <v>316428.57142857142</v>
      </c>
      <c r="F26" s="66"/>
      <c r="G26" s="67">
        <v>400</v>
      </c>
      <c r="H26" s="10"/>
      <c r="I26" s="15"/>
      <c r="J26" s="65">
        <f>L26*J24/L24</f>
        <v>651000</v>
      </c>
      <c r="K26" s="66"/>
      <c r="L26" s="67">
        <v>400</v>
      </c>
      <c r="P26" s="51">
        <f>AVERAGE(P23,P20,P17,P14,P11,P8,P5)</f>
        <v>5408784.1015992472</v>
      </c>
      <c r="Q26" s="52">
        <f>STDEV(P23,P20,P17,P14,P11,P8,P5)</f>
        <v>1529938.5255793487</v>
      </c>
      <c r="R26" s="53" t="s">
        <v>34</v>
      </c>
    </row>
    <row r="27" spans="1:25" x14ac:dyDescent="0.3">
      <c r="I27" s="70"/>
      <c r="P27" s="54"/>
      <c r="Q27" s="54"/>
      <c r="R27" s="55"/>
    </row>
    <row r="28" spans="1:25" x14ac:dyDescent="0.3">
      <c r="P28" s="56"/>
      <c r="Q28" s="56"/>
    </row>
    <row r="29" spans="1:25" x14ac:dyDescent="0.3">
      <c r="P29" s="58" t="s">
        <v>39</v>
      </c>
      <c r="Q29" s="59" t="s">
        <v>40</v>
      </c>
      <c r="R29" s="60" t="s">
        <v>41</v>
      </c>
    </row>
    <row r="30" spans="1:25" ht="15.65" thickBot="1" x14ac:dyDescent="0.35">
      <c r="P30" s="61">
        <f>AVERAGE(P7,P10,P13,P16,P4,P19,P22)</f>
        <v>133035.71428571429</v>
      </c>
      <c r="Q30" s="62">
        <v>0.10630000000000001</v>
      </c>
      <c r="R30" s="63">
        <v>100</v>
      </c>
    </row>
    <row r="31" spans="1:25" ht="15.65" thickBot="1" x14ac:dyDescent="0.35">
      <c r="A31" s="71" t="s">
        <v>37</v>
      </c>
      <c r="B31" s="72" t="s">
        <v>38</v>
      </c>
      <c r="C31" s="73"/>
      <c r="P31" s="64">
        <f>P30*Q31/Q30</f>
        <v>476012.54871657031</v>
      </c>
      <c r="Q31" s="62">
        <v>0.38034999999999997</v>
      </c>
      <c r="R31" s="41"/>
    </row>
    <row r="32" spans="1:25" ht="15.65" thickBot="1" x14ac:dyDescent="0.35">
      <c r="A32" s="74">
        <f>AVERAGE(E17,E14,E11,E8,A8,A5,P23,P20,P17,P14,P11,P8,P5,J5,J8,J11,J14,J17,E5)</f>
        <v>5923126.0701951487</v>
      </c>
      <c r="B32" s="75">
        <f>STDEV(E17,E14,E11,E8,A8,J11,J14,J17,P23,P20,P17,P14,P11,P8,P5,J8,J5,E5,A5)</f>
        <v>2972770.0389607199</v>
      </c>
      <c r="C32" s="76" t="s">
        <v>34</v>
      </c>
      <c r="P32" s="65">
        <f>R32*P30/R30</f>
        <v>532142.85714285716</v>
      </c>
      <c r="Q32" s="66"/>
      <c r="R32" s="67">
        <v>400</v>
      </c>
    </row>
    <row r="33" spans="1:18" ht="15.65" thickBot="1" x14ac:dyDescent="0.35">
      <c r="J33" s="37"/>
      <c r="K33" s="77"/>
      <c r="L33" s="78"/>
      <c r="P33" s="37"/>
      <c r="R33" s="78"/>
    </row>
    <row r="34" spans="1:18" x14ac:dyDescent="0.3">
      <c r="A34" s="79" t="s">
        <v>39</v>
      </c>
      <c r="B34" s="80" t="s">
        <v>40</v>
      </c>
      <c r="C34" s="81" t="s">
        <v>41</v>
      </c>
    </row>
    <row r="35" spans="1:18" ht="15.65" thickBot="1" x14ac:dyDescent="0.35">
      <c r="A35" s="82">
        <f>AVERAGE(E4,E16,E13,E10,E7,A7,P4,P22,P19,P16,P13,P10,P7,J7,J10,J13,J16,J4,A4)</f>
        <v>120986.84210526316</v>
      </c>
      <c r="B35" s="62">
        <f>AVERAGE(G4,L4,R4)</f>
        <v>9.7066666666666676E-2</v>
      </c>
      <c r="C35" s="83">
        <v>100</v>
      </c>
    </row>
    <row r="36" spans="1:18" ht="15.65" thickBot="1" x14ac:dyDescent="0.35">
      <c r="A36" s="84">
        <f>A35*B36/B35</f>
        <v>469510.64322623349</v>
      </c>
      <c r="B36" s="85">
        <f>AVERAGE(G15:G17,L13:L16,R11:R22)</f>
        <v>0.37668421052631573</v>
      </c>
      <c r="C36" s="86" t="s">
        <v>42</v>
      </c>
      <c r="N36" s="37"/>
      <c r="P36" s="15"/>
    </row>
    <row r="37" spans="1:18" ht="15.65" thickBot="1" x14ac:dyDescent="0.35">
      <c r="A37" s="87">
        <f>C37*A35/C35</f>
        <v>483947.36842105264</v>
      </c>
      <c r="B37" s="88"/>
      <c r="C37" s="89">
        <v>400</v>
      </c>
    </row>
    <row r="43" spans="1:18" x14ac:dyDescent="0.3">
      <c r="A43" t="s">
        <v>43</v>
      </c>
    </row>
    <row r="44" spans="1:18" ht="18.2" x14ac:dyDescent="0.35">
      <c r="A44" s="351" t="s">
        <v>44</v>
      </c>
      <c r="B44" s="352"/>
      <c r="C44" s="353"/>
    </row>
    <row r="45" spans="1:18" ht="18.2" x14ac:dyDescent="0.35">
      <c r="A45" s="90"/>
      <c r="B45" s="91"/>
      <c r="C45" s="92"/>
    </row>
    <row r="46" spans="1:18" ht="18.2" x14ac:dyDescent="0.35">
      <c r="A46" s="93"/>
      <c r="B46" s="94" t="s">
        <v>45</v>
      </c>
      <c r="C46" s="95" t="s">
        <v>38</v>
      </c>
    </row>
    <row r="47" spans="1:18" ht="18.2" x14ac:dyDescent="0.35">
      <c r="A47" s="90">
        <v>1</v>
      </c>
      <c r="B47" s="96">
        <v>4210477.7865404831</v>
      </c>
      <c r="C47" s="97">
        <f>AVERAGE(B47:B48)</f>
        <v>4290423.5672975816</v>
      </c>
    </row>
    <row r="48" spans="1:18" ht="18.2" x14ac:dyDescent="0.35">
      <c r="A48" s="98"/>
      <c r="B48" s="99">
        <v>4370369.3480546791</v>
      </c>
      <c r="C48" s="100"/>
    </row>
    <row r="49" spans="1:3" ht="18.2" x14ac:dyDescent="0.35">
      <c r="A49" s="90">
        <v>2</v>
      </c>
      <c r="B49" s="101">
        <v>2984642.4815983176</v>
      </c>
      <c r="C49" s="97">
        <f>AVERAGE(B49:B53)</f>
        <v>3005961.3564668773</v>
      </c>
    </row>
    <row r="50" spans="1:3" ht="18.2" x14ac:dyDescent="0.35">
      <c r="A50" s="102"/>
      <c r="B50" s="103">
        <v>2718156.5457413248</v>
      </c>
      <c r="C50" s="104">
        <f>STDEV(B49:B53)</f>
        <v>334118.53181626316</v>
      </c>
    </row>
    <row r="51" spans="1:3" ht="18.2" x14ac:dyDescent="0.35">
      <c r="A51" s="102"/>
      <c r="B51" s="103">
        <v>3197831.2302839113</v>
      </c>
      <c r="C51" s="95"/>
    </row>
    <row r="52" spans="1:3" ht="18.2" x14ac:dyDescent="0.35">
      <c r="A52" s="102"/>
      <c r="B52" s="103">
        <v>2664859.3585699266</v>
      </c>
      <c r="C52" s="95"/>
    </row>
    <row r="53" spans="1:3" ht="18.2" x14ac:dyDescent="0.35">
      <c r="A53" s="102"/>
      <c r="B53" s="103">
        <v>3464317.1661409042</v>
      </c>
      <c r="C53" s="95"/>
    </row>
    <row r="54" spans="1:3" ht="18.2" x14ac:dyDescent="0.35">
      <c r="A54" s="90">
        <v>3</v>
      </c>
      <c r="B54" s="105">
        <v>10915679.287305122</v>
      </c>
      <c r="C54" s="97">
        <f>AVERAGE(B54:B58)</f>
        <v>10224614.699331848</v>
      </c>
    </row>
    <row r="55" spans="1:3" ht="18.2" x14ac:dyDescent="0.35">
      <c r="A55" s="93"/>
      <c r="B55" s="106">
        <v>9188017.8173719365</v>
      </c>
      <c r="C55" s="104">
        <f>STDEV(B54:B58)</f>
        <v>731215.71362972562</v>
      </c>
    </row>
    <row r="56" spans="1:3" ht="18.2" x14ac:dyDescent="0.35">
      <c r="A56" s="93"/>
      <c r="B56" s="106">
        <v>10208908.68596882</v>
      </c>
      <c r="C56" s="107"/>
    </row>
    <row r="57" spans="1:3" ht="18.2" x14ac:dyDescent="0.35">
      <c r="A57" s="102"/>
      <c r="B57" s="106">
        <v>9894788.4187082406</v>
      </c>
      <c r="C57" s="95"/>
    </row>
    <row r="58" spans="1:3" ht="18.2" x14ac:dyDescent="0.35">
      <c r="A58" s="102"/>
      <c r="B58" s="106">
        <v>10915679.287305122</v>
      </c>
      <c r="C58" s="95"/>
    </row>
    <row r="59" spans="1:3" ht="18.2" x14ac:dyDescent="0.35">
      <c r="A59" s="90">
        <v>4</v>
      </c>
      <c r="B59" s="105">
        <v>3659096.8955785516</v>
      </c>
      <c r="C59" s="97">
        <f>AVERAGE(B59:B65)</f>
        <v>5408784.1015992472</v>
      </c>
    </row>
    <row r="60" spans="1:3" ht="18.2" x14ac:dyDescent="0.35">
      <c r="A60" s="93"/>
      <c r="B60" s="106">
        <v>3913200.8466603952</v>
      </c>
      <c r="C60" s="104">
        <f>STDEV(B59:B65)</f>
        <v>1529938.525579347</v>
      </c>
    </row>
    <row r="61" spans="1:3" ht="18.2" x14ac:dyDescent="0.35">
      <c r="A61" s="102"/>
      <c r="B61" s="106">
        <v>7267373.0009407336</v>
      </c>
      <c r="C61" s="95"/>
    </row>
    <row r="62" spans="1:3" ht="18.2" x14ac:dyDescent="0.35">
      <c r="A62" s="102"/>
      <c r="B62" s="106">
        <v>5082079.0216368772</v>
      </c>
      <c r="C62" s="95"/>
    </row>
    <row r="63" spans="1:3" ht="18.2" x14ac:dyDescent="0.35">
      <c r="A63" s="102"/>
      <c r="B63" s="106">
        <v>4878795.8607714018</v>
      </c>
      <c r="C63" s="95"/>
    </row>
    <row r="64" spans="1:3" ht="18.2" x14ac:dyDescent="0.35">
      <c r="A64" s="102"/>
      <c r="B64" s="106">
        <v>5437824.5531514585</v>
      </c>
      <c r="C64" s="95"/>
    </row>
    <row r="65" spans="1:12" ht="18.2" x14ac:dyDescent="0.35">
      <c r="A65" s="98"/>
      <c r="B65" s="108">
        <v>7623118.5324553158</v>
      </c>
      <c r="C65" s="100"/>
    </row>
    <row r="66" spans="1:12" ht="18.2" x14ac:dyDescent="0.35">
      <c r="A66" s="109"/>
      <c r="B66" s="110" t="s">
        <v>46</v>
      </c>
      <c r="C66" s="111" t="s">
        <v>38</v>
      </c>
    </row>
    <row r="67" spans="1:12" ht="18.2" x14ac:dyDescent="0.35">
      <c r="A67" s="98"/>
      <c r="B67" s="112">
        <f>AVERAGE(B47:B65)</f>
        <v>5926064.0065675536</v>
      </c>
      <c r="C67" s="113">
        <f>STDEV(B47:B65)</f>
        <v>2971051.7870254419</v>
      </c>
    </row>
    <row r="68" spans="1:12" x14ac:dyDescent="0.3">
      <c r="G68" s="114"/>
      <c r="H68" s="114"/>
      <c r="I68" s="114"/>
      <c r="J68" s="114"/>
      <c r="K68" s="114"/>
      <c r="L68" s="114"/>
    </row>
    <row r="69" spans="1:12" x14ac:dyDescent="0.3">
      <c r="G69" s="114"/>
      <c r="H69" s="114"/>
      <c r="I69" s="114"/>
      <c r="J69" s="115"/>
      <c r="K69" s="115"/>
      <c r="L69" s="114"/>
    </row>
    <row r="70" spans="1:12" x14ac:dyDescent="0.3">
      <c r="G70" s="114"/>
      <c r="H70" s="114"/>
      <c r="I70" s="114"/>
      <c r="J70" s="114"/>
      <c r="K70" s="114"/>
      <c r="L70" s="114"/>
    </row>
  </sheetData>
  <mergeCells count="1">
    <mergeCell ref="A44:C4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F24" sqref="F24"/>
    </sheetView>
  </sheetViews>
  <sheetFormatPr defaultColWidth="11.5546875" defaultRowHeight="18.2" x14ac:dyDescent="0.35"/>
  <cols>
    <col min="1" max="1" width="7.6640625" style="128" customWidth="1"/>
    <col min="2" max="2" width="10.6640625" style="128" bestFit="1" customWidth="1"/>
    <col min="3" max="3" width="16" style="128" bestFit="1" customWidth="1"/>
  </cols>
  <sheetData>
    <row r="1" spans="1:3" x14ac:dyDescent="0.35">
      <c r="A1" s="351" t="s">
        <v>47</v>
      </c>
      <c r="B1" s="352"/>
      <c r="C1" s="353"/>
    </row>
    <row r="2" spans="1:3" x14ac:dyDescent="0.35">
      <c r="A2" s="90"/>
      <c r="B2" s="91"/>
      <c r="C2" s="92"/>
    </row>
    <row r="3" spans="1:3" x14ac:dyDescent="0.35">
      <c r="A3" s="93"/>
      <c r="B3" s="94" t="s">
        <v>48</v>
      </c>
      <c r="C3" s="95" t="s">
        <v>49</v>
      </c>
    </row>
    <row r="4" spans="1:3" x14ac:dyDescent="0.35">
      <c r="A4" s="116">
        <v>11</v>
      </c>
      <c r="B4" s="117">
        <v>78.205960062182413</v>
      </c>
      <c r="C4" s="118">
        <f>AVERAGE(B4:B5)</f>
        <v>86.819373846770333</v>
      </c>
    </row>
    <row r="5" spans="1:3" x14ac:dyDescent="0.35">
      <c r="A5" s="119"/>
      <c r="B5" s="120">
        <v>95.432787631358266</v>
      </c>
      <c r="C5" s="107">
        <f>STDEV(B4:B5)/SQRT(2)</f>
        <v>8.6134137845879266</v>
      </c>
    </row>
    <row r="6" spans="1:3" x14ac:dyDescent="0.35">
      <c r="A6" s="93"/>
      <c r="B6" s="120">
        <v>71</v>
      </c>
      <c r="C6" s="121"/>
    </row>
    <row r="7" spans="1:3" x14ac:dyDescent="0.35">
      <c r="A7" s="93"/>
      <c r="B7" s="120">
        <v>73.2</v>
      </c>
      <c r="C7" s="121"/>
    </row>
    <row r="8" spans="1:3" x14ac:dyDescent="0.35">
      <c r="A8" s="122"/>
      <c r="B8" s="123">
        <v>88.58818148625889</v>
      </c>
      <c r="C8" s="124"/>
    </row>
    <row r="9" spans="1:3" x14ac:dyDescent="0.35">
      <c r="A9" s="119">
        <v>12</v>
      </c>
      <c r="B9" s="120">
        <v>67.263330336651507</v>
      </c>
      <c r="C9" s="107">
        <f>AVERAGE(B9:B10)</f>
        <v>70.244948737055367</v>
      </c>
    </row>
    <row r="10" spans="1:3" x14ac:dyDescent="0.35">
      <c r="A10" s="119"/>
      <c r="B10" s="120">
        <v>73.226567137459227</v>
      </c>
      <c r="C10" s="107">
        <f>STDEV(B9:B10)/SQRT(2)</f>
        <v>2.9816184004038599</v>
      </c>
    </row>
    <row r="11" spans="1:3" x14ac:dyDescent="0.35">
      <c r="A11" s="125"/>
      <c r="B11" s="123"/>
      <c r="C11" s="126"/>
    </row>
    <row r="12" spans="1:3" x14ac:dyDescent="0.35">
      <c r="A12" s="116">
        <v>13</v>
      </c>
      <c r="B12" s="117">
        <v>49.927815570017586</v>
      </c>
      <c r="C12" s="118">
        <f>AVERAGE(B12:B13)</f>
        <v>63.169937596102912</v>
      </c>
    </row>
    <row r="13" spans="1:3" x14ac:dyDescent="0.35">
      <c r="A13" s="119"/>
      <c r="B13" s="120">
        <v>76.412059622188238</v>
      </c>
      <c r="C13" s="107">
        <f>STDEV(B12:B13)/SQRT(2)</f>
        <v>13.24212202608531</v>
      </c>
    </row>
    <row r="14" spans="1:3" x14ac:dyDescent="0.35">
      <c r="A14" s="125"/>
      <c r="B14" s="123"/>
      <c r="C14" s="126"/>
    </row>
    <row r="15" spans="1:3" x14ac:dyDescent="0.35">
      <c r="A15" s="116">
        <v>14</v>
      </c>
      <c r="B15" s="117">
        <v>67</v>
      </c>
      <c r="C15" s="118">
        <f>AVERAGE(B15:B16)</f>
        <v>68.747958373297806</v>
      </c>
    </row>
    <row r="16" spans="1:3" x14ac:dyDescent="0.35">
      <c r="A16" s="125"/>
      <c r="B16" s="123">
        <v>70.495916746595611</v>
      </c>
      <c r="C16" s="126">
        <f>STDEV(B15:B16)/SQRT(2)</f>
        <v>1.7479583732978055</v>
      </c>
    </row>
    <row r="17" spans="1:3" x14ac:dyDescent="0.35">
      <c r="A17" s="116"/>
      <c r="B17" s="110"/>
      <c r="C17" s="111" t="s">
        <v>50</v>
      </c>
    </row>
    <row r="18" spans="1:3" x14ac:dyDescent="0.35">
      <c r="A18" s="119"/>
      <c r="B18" s="120">
        <f>AVERAGE(B4:B16)</f>
        <v>73.704783508428349</v>
      </c>
      <c r="C18" s="127">
        <f>STDEV(B4:B16)/SQRT(11)</f>
        <v>3.5561706358877418</v>
      </c>
    </row>
    <row r="19" spans="1:3" x14ac:dyDescent="0.35">
      <c r="A19" s="125"/>
      <c r="B19" s="112"/>
      <c r="C19" s="113"/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topLeftCell="A10" workbookViewId="0">
      <selection activeCell="Z22" sqref="Z22"/>
    </sheetView>
  </sheetViews>
  <sheetFormatPr defaultColWidth="11.5546875" defaultRowHeight="15.05" x14ac:dyDescent="0.3"/>
  <cols>
    <col min="1" max="1" width="29.44140625" customWidth="1"/>
    <col min="2" max="2" width="31.6640625" bestFit="1" customWidth="1"/>
    <col min="3" max="3" width="32.109375" bestFit="1" customWidth="1"/>
    <col min="4" max="4" width="32.44140625" bestFit="1" customWidth="1"/>
    <col min="5" max="5" width="32.109375" bestFit="1" customWidth="1"/>
    <col min="6" max="6" width="31.44140625" customWidth="1"/>
    <col min="7" max="7" width="8.5546875" customWidth="1"/>
    <col min="8" max="8" width="12.88671875" customWidth="1"/>
    <col min="9" max="9" width="8.5546875" customWidth="1"/>
    <col min="10" max="10" width="4.33203125" customWidth="1"/>
    <col min="11" max="11" width="34.44140625" customWidth="1"/>
    <col min="12" max="12" width="7.33203125" customWidth="1"/>
    <col min="13" max="13" width="13" customWidth="1"/>
    <col min="14" max="14" width="9.109375" customWidth="1"/>
    <col min="15" max="15" width="5.5546875" customWidth="1"/>
    <col min="16" max="16" width="33.44140625" customWidth="1"/>
    <col min="17" max="17" width="6" customWidth="1"/>
    <col min="18" max="18" width="12.88671875" customWidth="1"/>
    <col min="19" max="19" width="8.5546875" customWidth="1"/>
    <col min="20" max="20" width="3.6640625" customWidth="1"/>
    <col min="21" max="21" width="34" customWidth="1"/>
    <col min="22" max="22" width="5.6640625" customWidth="1"/>
    <col min="23" max="23" width="12.88671875" customWidth="1"/>
    <col min="24" max="24" width="8.5546875" customWidth="1"/>
    <col min="25" max="25" width="18" bestFit="1" customWidth="1"/>
    <col min="26" max="26" width="9.33203125" bestFit="1" customWidth="1"/>
  </cols>
  <sheetData>
    <row r="1" spans="1:11" x14ac:dyDescent="0.3">
      <c r="F1" s="354"/>
      <c r="G1" s="354"/>
      <c r="H1" s="354"/>
      <c r="I1" s="354"/>
      <c r="J1" s="10"/>
      <c r="K1" s="10"/>
    </row>
    <row r="2" spans="1:11" x14ac:dyDescent="0.3">
      <c r="A2" s="355" t="s">
        <v>51</v>
      </c>
      <c r="B2" s="356"/>
      <c r="C2" s="357"/>
      <c r="F2" s="10"/>
      <c r="G2" s="10"/>
      <c r="H2" s="10"/>
      <c r="I2" s="10"/>
      <c r="J2" s="10"/>
      <c r="K2" s="10"/>
    </row>
    <row r="3" spans="1:11" x14ac:dyDescent="0.3">
      <c r="A3" s="129"/>
      <c r="B3" s="59" t="s">
        <v>39</v>
      </c>
      <c r="C3" s="130" t="s">
        <v>52</v>
      </c>
      <c r="F3" s="10"/>
      <c r="G3" s="131"/>
      <c r="H3" s="10"/>
      <c r="I3" s="10"/>
      <c r="J3" s="10"/>
      <c r="K3" s="10"/>
    </row>
    <row r="4" spans="1:11" x14ac:dyDescent="0.3">
      <c r="A4" s="132" t="s">
        <v>25</v>
      </c>
      <c r="B4" s="133">
        <v>2616215.5</v>
      </c>
      <c r="C4" s="134">
        <v>131604.75499999995</v>
      </c>
      <c r="F4" s="10"/>
      <c r="G4" s="135"/>
      <c r="H4" s="136"/>
      <c r="I4" s="136"/>
      <c r="J4" s="10"/>
      <c r="K4" s="10"/>
    </row>
    <row r="5" spans="1:11" x14ac:dyDescent="0.3">
      <c r="A5" s="132"/>
      <c r="B5" s="131"/>
      <c r="C5" s="134"/>
      <c r="F5" s="10"/>
      <c r="G5" s="137"/>
      <c r="H5" s="138"/>
      <c r="I5" s="138"/>
      <c r="J5" s="10"/>
      <c r="K5" s="10"/>
    </row>
    <row r="6" spans="1:11" x14ac:dyDescent="0.3">
      <c r="A6" s="132" t="s">
        <v>26</v>
      </c>
      <c r="B6" s="131">
        <v>4028165</v>
      </c>
      <c r="C6" s="134">
        <v>445471.73999999958</v>
      </c>
      <c r="F6" s="10"/>
      <c r="G6" s="139"/>
      <c r="H6" s="140"/>
      <c r="I6" s="141"/>
      <c r="J6" s="142"/>
      <c r="K6" s="10"/>
    </row>
    <row r="7" spans="1:11" x14ac:dyDescent="0.3">
      <c r="A7" s="132"/>
      <c r="B7" s="131"/>
      <c r="C7" s="134"/>
      <c r="F7" s="10"/>
      <c r="G7" s="143"/>
      <c r="H7" s="144"/>
      <c r="I7" s="145"/>
      <c r="J7" s="146"/>
      <c r="K7" s="147"/>
    </row>
    <row r="8" spans="1:11" x14ac:dyDescent="0.3">
      <c r="A8" s="132" t="s">
        <v>27</v>
      </c>
      <c r="B8" s="131">
        <v>3589987</v>
      </c>
      <c r="C8" s="134">
        <v>364725.935</v>
      </c>
      <c r="F8" s="10"/>
      <c r="G8" s="10"/>
      <c r="H8" s="10"/>
      <c r="I8" s="10"/>
      <c r="J8" s="10"/>
      <c r="K8" s="10"/>
    </row>
    <row r="9" spans="1:11" x14ac:dyDescent="0.3">
      <c r="A9" s="132"/>
      <c r="B9" s="131"/>
      <c r="C9" s="134"/>
      <c r="F9" s="10"/>
      <c r="G9" s="131"/>
      <c r="H9" s="10"/>
      <c r="I9" s="10"/>
      <c r="J9" s="10"/>
      <c r="K9" s="10"/>
    </row>
    <row r="10" spans="1:11" x14ac:dyDescent="0.3">
      <c r="A10" s="132" t="s">
        <v>53</v>
      </c>
      <c r="B10" s="131">
        <v>896967</v>
      </c>
      <c r="C10" s="134">
        <v>142296.77499999994</v>
      </c>
      <c r="F10" s="10"/>
      <c r="G10" s="135"/>
      <c r="H10" s="136"/>
      <c r="I10" s="136"/>
      <c r="J10" s="10"/>
      <c r="K10" s="10"/>
    </row>
    <row r="11" spans="1:11" x14ac:dyDescent="0.3">
      <c r="A11" s="132"/>
      <c r="B11" s="131"/>
      <c r="C11" s="134"/>
      <c r="F11" s="10"/>
      <c r="G11" s="137"/>
      <c r="H11" s="138"/>
      <c r="I11" s="138"/>
      <c r="J11" s="10"/>
      <c r="K11" s="10"/>
    </row>
    <row r="12" spans="1:11" x14ac:dyDescent="0.3">
      <c r="A12" s="132" t="s">
        <v>54</v>
      </c>
      <c r="B12" s="131">
        <v>964600</v>
      </c>
      <c r="C12" s="134">
        <v>59808.749999999993</v>
      </c>
      <c r="F12" s="10"/>
      <c r="G12" s="139"/>
      <c r="H12" s="140"/>
      <c r="I12" s="141"/>
      <c r="J12" s="142"/>
      <c r="K12" s="10"/>
    </row>
    <row r="13" spans="1:11" x14ac:dyDescent="0.3">
      <c r="A13" s="9"/>
      <c r="B13" s="10"/>
      <c r="C13" s="41"/>
      <c r="F13" s="10"/>
      <c r="G13" s="143"/>
      <c r="H13" s="144"/>
      <c r="I13" s="145"/>
      <c r="J13" s="10"/>
      <c r="K13" s="10"/>
    </row>
    <row r="14" spans="1:11" x14ac:dyDescent="0.3">
      <c r="A14" s="9" t="s">
        <v>55</v>
      </c>
      <c r="B14" s="148">
        <f>SUM(B4:B12)</f>
        <v>12095934.5</v>
      </c>
      <c r="C14" s="149">
        <f>SUM(C4:C12)</f>
        <v>1143907.9549999994</v>
      </c>
      <c r="F14" s="10"/>
      <c r="G14" s="10"/>
      <c r="H14" s="10"/>
      <c r="I14" s="10"/>
      <c r="J14" s="10"/>
      <c r="K14" s="10"/>
    </row>
    <row r="15" spans="1:11" x14ac:dyDescent="0.3">
      <c r="A15" s="9"/>
      <c r="B15" s="10"/>
      <c r="C15" s="41"/>
      <c r="F15" s="10"/>
      <c r="G15" s="131"/>
      <c r="H15" s="10"/>
      <c r="I15" s="10"/>
      <c r="J15" s="10"/>
      <c r="K15" s="10"/>
    </row>
    <row r="16" spans="1:11" x14ac:dyDescent="0.3">
      <c r="A16" s="9"/>
      <c r="B16" s="10"/>
      <c r="C16" s="150">
        <f>C14/B14</f>
        <v>9.4569622132130382E-2</v>
      </c>
      <c r="F16" s="10"/>
      <c r="G16" s="135"/>
      <c r="H16" s="136"/>
      <c r="I16" s="136"/>
      <c r="J16" s="10"/>
      <c r="K16" s="10"/>
    </row>
    <row r="17" spans="1:27" x14ac:dyDescent="0.3">
      <c r="A17" s="151"/>
      <c r="B17" s="152"/>
      <c r="C17" s="153">
        <f>C16*1000</f>
        <v>94.569622132130377</v>
      </c>
      <c r="F17" s="10"/>
      <c r="G17" s="137"/>
      <c r="H17" s="138"/>
      <c r="I17" s="138"/>
      <c r="J17" s="10"/>
      <c r="K17" s="10"/>
    </row>
    <row r="18" spans="1:27" x14ac:dyDescent="0.3">
      <c r="F18" s="10"/>
      <c r="G18" s="139"/>
      <c r="H18" s="140"/>
      <c r="I18" s="141"/>
      <c r="J18" s="142"/>
      <c r="K18" s="10"/>
    </row>
    <row r="19" spans="1:27" x14ac:dyDescent="0.3">
      <c r="F19" s="10"/>
      <c r="G19" s="143"/>
      <c r="H19" s="144"/>
      <c r="I19" s="145"/>
      <c r="J19" s="10"/>
      <c r="K19" s="10"/>
    </row>
    <row r="21" spans="1:27" ht="45.1" x14ac:dyDescent="0.3">
      <c r="A21" s="154" t="s">
        <v>25</v>
      </c>
      <c r="B21" s="155" t="s">
        <v>56</v>
      </c>
      <c r="C21" s="156" t="s">
        <v>57</v>
      </c>
      <c r="D21" s="157" t="s">
        <v>58</v>
      </c>
      <c r="E21" s="10"/>
      <c r="F21" s="154" t="s">
        <v>26</v>
      </c>
      <c r="G21" s="155" t="s">
        <v>56</v>
      </c>
      <c r="H21" s="156" t="s">
        <v>57</v>
      </c>
      <c r="I21" s="157" t="s">
        <v>58</v>
      </c>
      <c r="K21" s="154" t="s">
        <v>59</v>
      </c>
      <c r="L21" s="155" t="s">
        <v>56</v>
      </c>
      <c r="M21" s="156" t="s">
        <v>57</v>
      </c>
      <c r="N21" s="157" t="s">
        <v>58</v>
      </c>
      <c r="P21" s="154" t="s">
        <v>60</v>
      </c>
      <c r="Q21" s="155" t="s">
        <v>56</v>
      </c>
      <c r="R21" s="156" t="s">
        <v>57</v>
      </c>
      <c r="S21" s="157" t="s">
        <v>58</v>
      </c>
      <c r="U21" s="154" t="s">
        <v>61</v>
      </c>
      <c r="V21" s="155" t="s">
        <v>56</v>
      </c>
      <c r="W21" s="156" t="s">
        <v>57</v>
      </c>
      <c r="X21" s="157" t="s">
        <v>58</v>
      </c>
    </row>
    <row r="22" spans="1:27" x14ac:dyDescent="0.3">
      <c r="A22" s="9" t="s">
        <v>62</v>
      </c>
      <c r="B22" s="11">
        <f>B24++B25</f>
        <v>12.723716</v>
      </c>
      <c r="C22" s="158">
        <f>C25*B22/B25</f>
        <v>57314742.412124634</v>
      </c>
      <c r="D22" s="159">
        <f>C22/C34</f>
        <v>25473218.849833172</v>
      </c>
      <c r="E22" s="10"/>
      <c r="F22" s="9" t="s">
        <v>62</v>
      </c>
      <c r="G22" s="11">
        <f>G24++G25</f>
        <v>27.831665003280381</v>
      </c>
      <c r="H22" s="160">
        <f>H25*G22/G25</f>
        <v>96291476.997039184</v>
      </c>
      <c r="I22" s="159">
        <f>H22/H34</f>
        <v>23743429.16953253</v>
      </c>
      <c r="K22" s="9" t="s">
        <v>62</v>
      </c>
      <c r="L22" s="11">
        <f>L24++L25</f>
        <v>27.229704003465478</v>
      </c>
      <c r="M22" s="158">
        <f>M25*L22/L25</f>
        <v>85356679.782022655</v>
      </c>
      <c r="N22" s="159">
        <f>M22/M34</f>
        <v>17672190.43106059</v>
      </c>
      <c r="P22" s="9" t="s">
        <v>62</v>
      </c>
      <c r="Q22" s="11">
        <f>Q24++Q25</f>
        <v>27.768703476999061</v>
      </c>
      <c r="R22" s="158">
        <f>R25*Q22/Q25</f>
        <v>97826237.668154433</v>
      </c>
      <c r="S22" s="159">
        <f>R22/R34</f>
        <v>24089199.130301509</v>
      </c>
      <c r="U22" s="9" t="s">
        <v>62</v>
      </c>
      <c r="V22" s="11">
        <f>V24++V25</f>
        <v>26.48952827375</v>
      </c>
      <c r="W22" s="158">
        <f>W25*V22/V25</f>
        <v>178554093.39984375</v>
      </c>
      <c r="X22" s="159">
        <f>W22/W34</f>
        <v>34738150.466895677</v>
      </c>
      <c r="Y22" s="161">
        <f>AVERAGE(W22,R22,M22,H22,C22)</f>
        <v>103068646.05183694</v>
      </c>
      <c r="Z22" s="161">
        <f>STDEV(W22,R22,M22,H22,C22)</f>
        <v>45217803.669579223</v>
      </c>
      <c r="AA22" s="161">
        <f>AVERAGE(H22,M22,R22)</f>
        <v>93158131.482405424</v>
      </c>
    </row>
    <row r="23" spans="1:27" x14ac:dyDescent="0.3">
      <c r="A23" s="9" t="s">
        <v>63</v>
      </c>
      <c r="B23" s="147">
        <v>2</v>
      </c>
      <c r="D23" s="41"/>
      <c r="E23" s="10"/>
      <c r="F23" s="9" t="s">
        <v>63</v>
      </c>
      <c r="G23" s="147">
        <v>5</v>
      </c>
      <c r="I23" s="41"/>
      <c r="J23" s="162"/>
      <c r="K23" s="9" t="s">
        <v>63</v>
      </c>
      <c r="L23" s="147">
        <v>6</v>
      </c>
      <c r="N23" s="41"/>
      <c r="P23" s="9" t="s">
        <v>63</v>
      </c>
      <c r="Q23" s="147">
        <v>5</v>
      </c>
      <c r="R23" s="163"/>
      <c r="S23" s="41"/>
      <c r="U23" s="9" t="s">
        <v>63</v>
      </c>
      <c r="V23" s="147">
        <v>5.5</v>
      </c>
      <c r="X23" s="41"/>
      <c r="Y23" s="161"/>
      <c r="Z23" s="161"/>
      <c r="AA23" s="161"/>
    </row>
    <row r="24" spans="1:27" x14ac:dyDescent="0.3">
      <c r="A24" s="164" t="s">
        <v>64</v>
      </c>
      <c r="B24" s="147">
        <f>B23-C35</f>
        <v>0.22371600000000003</v>
      </c>
      <c r="C24" s="158">
        <f>C22/B22*B24</f>
        <v>1007742.1496574489</v>
      </c>
      <c r="D24" s="159">
        <f>C24/C34</f>
        <v>447885.39984775503</v>
      </c>
      <c r="F24" s="164" t="s">
        <v>64</v>
      </c>
      <c r="G24" s="147">
        <f>G23-H35</f>
        <v>2.8316650032803818</v>
      </c>
      <c r="H24" s="158">
        <f>H22/G22*G24</f>
        <v>9796941.9182990342</v>
      </c>
      <c r="I24" s="159">
        <f>H24/H34</f>
        <v>2415717.4006408663</v>
      </c>
      <c r="K24" s="164" t="s">
        <v>64</v>
      </c>
      <c r="L24" s="147">
        <f>L23-M35</f>
        <v>2.2297040034654789</v>
      </c>
      <c r="M24" s="158">
        <f>M22/L22*L24</f>
        <v>6989430.7557759387</v>
      </c>
      <c r="N24" s="159">
        <f>M24/M34</f>
        <v>1447087.1129970888</v>
      </c>
      <c r="P24" s="164" t="s">
        <v>64</v>
      </c>
      <c r="Q24" s="147">
        <f>Q23-R35</f>
        <v>2.7687034769990597</v>
      </c>
      <c r="R24" s="158">
        <f>R22/Q22*Q24</f>
        <v>9753852.7356130742</v>
      </c>
      <c r="S24" s="159">
        <f>R24/R34</f>
        <v>2401835.1971467803</v>
      </c>
      <c r="U24" s="164" t="s">
        <v>64</v>
      </c>
      <c r="V24" s="147">
        <f>V23-W35</f>
        <v>1.4895282737500004</v>
      </c>
      <c r="W24" s="158">
        <f>W22/V22*V24</f>
        <v>10040245.630814878</v>
      </c>
      <c r="X24" s="159">
        <f>W24/W34</f>
        <v>1953355.1810923889</v>
      </c>
      <c r="Y24" s="161">
        <f>AVERAGE(W24,R24,M24,H24,C24)</f>
        <v>7517642.6380320741</v>
      </c>
      <c r="Z24" s="161">
        <f>STDEV(W24,R24,M24,H24,C24)</f>
        <v>3847634.949869928</v>
      </c>
      <c r="AA24" s="161">
        <f>AVERAGE(H24,M24,R24)</f>
        <v>8846741.8032293487</v>
      </c>
    </row>
    <row r="25" spans="1:27" x14ac:dyDescent="0.3">
      <c r="A25" s="9" t="s">
        <v>65</v>
      </c>
      <c r="B25" s="11">
        <f>C31+C32+C33</f>
        <v>12.5</v>
      </c>
      <c r="C25" s="158">
        <f>C37</f>
        <v>56307000.262467191</v>
      </c>
      <c r="D25" s="159">
        <f>C25/C34</f>
        <v>25025333.449985418</v>
      </c>
      <c r="E25" s="10"/>
      <c r="F25" s="9" t="s">
        <v>65</v>
      </c>
      <c r="G25" s="11">
        <f>H31+H32+H33</f>
        <v>25</v>
      </c>
      <c r="H25" s="158">
        <f>H37</f>
        <v>86494535.07874015</v>
      </c>
      <c r="I25" s="159">
        <f>H25/H34</f>
        <v>21327711.768891662</v>
      </c>
      <c r="K25" s="9" t="s">
        <v>65</v>
      </c>
      <c r="L25" s="11">
        <f>M31+M32+M33</f>
        <v>25</v>
      </c>
      <c r="M25" s="158">
        <f>M37</f>
        <v>78367249.026246712</v>
      </c>
      <c r="N25" s="159">
        <f>M25/M34</f>
        <v>16225103.318063501</v>
      </c>
      <c r="P25" s="9" t="s">
        <v>65</v>
      </c>
      <c r="Q25" s="11">
        <f>R31+R32+R33</f>
        <v>25</v>
      </c>
      <c r="R25" s="158">
        <f>R37</f>
        <v>88072384.932541355</v>
      </c>
      <c r="S25" s="159">
        <f>R25/R34</f>
        <v>21687363.933154728</v>
      </c>
      <c r="U25" s="9" t="s">
        <v>65</v>
      </c>
      <c r="V25" s="11">
        <f>W31+W32+W33</f>
        <v>25</v>
      </c>
      <c r="W25" s="158">
        <f>W37</f>
        <v>168513847.76902887</v>
      </c>
      <c r="X25" s="159">
        <f>W25/W34</f>
        <v>32784795.285803284</v>
      </c>
      <c r="Y25" s="161">
        <f>AVERAGE(W25,R25,M25,H25,C25)</f>
        <v>95551003.413804859</v>
      </c>
    </row>
    <row r="26" spans="1:27" x14ac:dyDescent="0.3">
      <c r="A26" s="9"/>
      <c r="B26" s="10"/>
      <c r="C26" s="165">
        <f>C25+C24</f>
        <v>57314742.412124641</v>
      </c>
      <c r="D26" s="41"/>
      <c r="F26" s="9"/>
      <c r="G26" s="10"/>
      <c r="H26" s="165">
        <f>H25+H24</f>
        <v>96291476.997039184</v>
      </c>
      <c r="I26" s="41"/>
      <c r="K26" s="9"/>
      <c r="L26" s="10"/>
      <c r="M26" s="165">
        <f>M25+M24</f>
        <v>85356679.782022655</v>
      </c>
      <c r="N26" s="41"/>
      <c r="P26" s="9"/>
      <c r="Q26" s="10"/>
      <c r="R26" s="165">
        <f>R25+R24</f>
        <v>97826237.668154433</v>
      </c>
      <c r="S26" s="41"/>
      <c r="U26" s="9"/>
      <c r="V26" s="10"/>
      <c r="W26" s="165">
        <f>W25+W24</f>
        <v>178554093.39984375</v>
      </c>
      <c r="X26" s="41"/>
      <c r="Y26" s="161"/>
      <c r="AA26" s="166">
        <f>AA24*100/AA22</f>
        <v>9.4964783668940527</v>
      </c>
    </row>
    <row r="27" spans="1:27" x14ac:dyDescent="0.3">
      <c r="A27" s="358" t="s">
        <v>66</v>
      </c>
      <c r="B27" s="10">
        <v>10</v>
      </c>
      <c r="C27" s="10"/>
      <c r="D27" s="41"/>
      <c r="E27" s="10"/>
      <c r="F27" s="358" t="s">
        <v>66</v>
      </c>
      <c r="G27" s="10">
        <v>10</v>
      </c>
      <c r="H27" s="10"/>
      <c r="I27" s="41"/>
      <c r="J27" s="167"/>
      <c r="K27" s="358" t="s">
        <v>66</v>
      </c>
      <c r="L27" s="10">
        <v>10</v>
      </c>
      <c r="M27" s="10"/>
      <c r="N27" s="41"/>
      <c r="P27" s="358" t="s">
        <v>66</v>
      </c>
      <c r="Q27" s="10">
        <v>10</v>
      </c>
      <c r="R27" s="10"/>
      <c r="S27" s="41"/>
      <c r="U27" s="358" t="s">
        <v>66</v>
      </c>
      <c r="V27" s="10">
        <v>10</v>
      </c>
      <c r="W27" s="10"/>
      <c r="X27" s="41"/>
      <c r="Y27" s="161">
        <f>Y24-Y45</f>
        <v>7463842.370210832</v>
      </c>
    </row>
    <row r="28" spans="1:27" x14ac:dyDescent="0.3">
      <c r="A28" s="358"/>
      <c r="B28" s="15">
        <v>5</v>
      </c>
      <c r="C28" s="10"/>
      <c r="D28" s="41"/>
      <c r="E28" s="10"/>
      <c r="F28" s="358"/>
      <c r="G28" s="15"/>
      <c r="H28" s="10"/>
      <c r="I28" s="41"/>
      <c r="K28" s="358"/>
      <c r="L28" s="15"/>
      <c r="M28" s="10"/>
      <c r="N28" s="41"/>
      <c r="P28" s="358"/>
      <c r="Q28" s="15"/>
      <c r="R28" s="10"/>
      <c r="S28" s="41"/>
      <c r="U28" s="358"/>
      <c r="V28" s="15"/>
      <c r="W28" s="10"/>
      <c r="X28" s="41"/>
    </row>
    <row r="29" spans="1:27" x14ac:dyDescent="0.3">
      <c r="A29" s="168"/>
      <c r="B29" s="15"/>
      <c r="C29" s="10"/>
      <c r="D29" s="41"/>
      <c r="E29" s="10"/>
      <c r="F29" s="168"/>
      <c r="G29" s="15"/>
      <c r="H29" s="10"/>
      <c r="I29" s="41"/>
      <c r="K29" s="168"/>
      <c r="L29" s="15"/>
      <c r="M29" s="10"/>
      <c r="N29" s="41"/>
      <c r="P29" s="168"/>
      <c r="Q29" s="15"/>
      <c r="R29" s="10"/>
      <c r="S29" s="41"/>
      <c r="U29" s="168"/>
      <c r="V29" s="15"/>
      <c r="W29" s="10"/>
      <c r="X29" s="41"/>
      <c r="Y29" s="161">
        <f>Y27/(Y25+Y27)*100</f>
        <v>7.245404595236467</v>
      </c>
    </row>
    <row r="30" spans="1:27" x14ac:dyDescent="0.3">
      <c r="A30" s="169"/>
      <c r="B30" s="78"/>
      <c r="C30" s="131" t="s">
        <v>67</v>
      </c>
      <c r="D30" s="170"/>
      <c r="E30" s="10"/>
      <c r="F30" s="169"/>
      <c r="G30" s="78" t="s">
        <v>68</v>
      </c>
      <c r="H30" s="131" t="s">
        <v>67</v>
      </c>
      <c r="I30" s="170"/>
      <c r="K30" s="169"/>
      <c r="L30" s="78" t="s">
        <v>68</v>
      </c>
      <c r="M30" s="131" t="s">
        <v>67</v>
      </c>
      <c r="N30" s="170"/>
      <c r="P30" s="169"/>
      <c r="Q30" s="78" t="s">
        <v>68</v>
      </c>
      <c r="R30" s="131" t="s">
        <v>67</v>
      </c>
      <c r="S30" s="170"/>
      <c r="U30" s="169"/>
      <c r="V30" s="78" t="s">
        <v>68</v>
      </c>
      <c r="W30" s="131" t="s">
        <v>67</v>
      </c>
      <c r="X30" s="170"/>
    </row>
    <row r="31" spans="1:27" x14ac:dyDescent="0.3">
      <c r="A31" s="169" t="s">
        <v>69</v>
      </c>
      <c r="B31" s="10"/>
      <c r="C31" s="78">
        <v>5</v>
      </c>
      <c r="D31" s="170"/>
      <c r="E31" s="10"/>
      <c r="F31" s="169" t="s">
        <v>69</v>
      </c>
      <c r="G31" s="10"/>
      <c r="H31" s="78">
        <f>5*2</f>
        <v>10</v>
      </c>
      <c r="I31" s="170"/>
      <c r="K31" s="169" t="s">
        <v>69</v>
      </c>
      <c r="L31" s="10"/>
      <c r="M31" s="78">
        <f>5*2</f>
        <v>10</v>
      </c>
      <c r="N31" s="170"/>
      <c r="P31" s="169" t="s">
        <v>69</v>
      </c>
      <c r="Q31" s="10"/>
      <c r="R31" s="78">
        <f>5*2</f>
        <v>10</v>
      </c>
      <c r="S31" s="170"/>
      <c r="U31" s="169" t="s">
        <v>69</v>
      </c>
      <c r="V31" s="10"/>
      <c r="W31" s="78">
        <f>5*2</f>
        <v>10</v>
      </c>
      <c r="X31" s="170"/>
    </row>
    <row r="32" spans="1:27" x14ac:dyDescent="0.3">
      <c r="A32" s="169" t="s">
        <v>70</v>
      </c>
      <c r="B32" s="10"/>
      <c r="C32" s="78">
        <v>5</v>
      </c>
      <c r="D32" s="170"/>
      <c r="E32" s="10"/>
      <c r="F32" s="169" t="s">
        <v>70</v>
      </c>
      <c r="G32" s="10"/>
      <c r="H32" s="78">
        <f>5*2</f>
        <v>10</v>
      </c>
      <c r="I32" s="170"/>
      <c r="K32" s="169" t="s">
        <v>70</v>
      </c>
      <c r="L32" s="10"/>
      <c r="M32" s="78">
        <f>5*2</f>
        <v>10</v>
      </c>
      <c r="N32" s="170"/>
      <c r="P32" s="169" t="s">
        <v>70</v>
      </c>
      <c r="Q32" s="10"/>
      <c r="R32" s="78">
        <f>5*2</f>
        <v>10</v>
      </c>
      <c r="S32" s="170"/>
      <c r="U32" s="169" t="s">
        <v>70</v>
      </c>
      <c r="V32" s="10"/>
      <c r="W32" s="78">
        <f>5*2</f>
        <v>10</v>
      </c>
      <c r="X32" s="170"/>
    </row>
    <row r="33" spans="1:27" x14ac:dyDescent="0.3">
      <c r="A33" s="169" t="s">
        <v>71</v>
      </c>
      <c r="B33" s="10"/>
      <c r="C33" s="78">
        <v>2.5</v>
      </c>
      <c r="D33" s="170"/>
      <c r="E33" s="10"/>
      <c r="F33" s="169" t="s">
        <v>71</v>
      </c>
      <c r="G33" s="10"/>
      <c r="H33" s="78">
        <f>2.5*2</f>
        <v>5</v>
      </c>
      <c r="I33" s="170"/>
      <c r="K33" s="169" t="s">
        <v>71</v>
      </c>
      <c r="L33" s="10"/>
      <c r="M33" s="78">
        <f>2.5*2</f>
        <v>5</v>
      </c>
      <c r="N33" s="170"/>
      <c r="P33" s="169" t="s">
        <v>71</v>
      </c>
      <c r="Q33" s="10"/>
      <c r="R33" s="78">
        <f>2.5*2</f>
        <v>5</v>
      </c>
      <c r="S33" s="170"/>
      <c r="U33" s="169" t="s">
        <v>71</v>
      </c>
      <c r="V33" s="10"/>
      <c r="W33" s="78">
        <f>2.5*2</f>
        <v>5</v>
      </c>
      <c r="X33" s="170"/>
    </row>
    <row r="34" spans="1:27" x14ac:dyDescent="0.3">
      <c r="A34" s="169" t="s">
        <v>72</v>
      </c>
      <c r="B34" s="10"/>
      <c r="C34" s="78">
        <v>2.25</v>
      </c>
      <c r="D34" s="170"/>
      <c r="E34" s="10"/>
      <c r="F34" s="169" t="s">
        <v>72</v>
      </c>
      <c r="G34" s="10"/>
      <c r="H34" s="78">
        <v>4.0555000000000003</v>
      </c>
      <c r="I34" s="170"/>
      <c r="K34" s="169" t="s">
        <v>72</v>
      </c>
      <c r="L34" s="10"/>
      <c r="M34" s="78">
        <v>4.83</v>
      </c>
      <c r="N34" s="170"/>
      <c r="P34" s="169" t="s">
        <v>72</v>
      </c>
      <c r="Q34" s="10"/>
      <c r="R34" s="78">
        <v>4.0609999999999999</v>
      </c>
      <c r="S34" s="170"/>
      <c r="U34" s="169" t="s">
        <v>72</v>
      </c>
      <c r="V34" s="10"/>
      <c r="W34" s="78">
        <f>2.55+2.59</f>
        <v>5.14</v>
      </c>
      <c r="X34" s="170"/>
    </row>
    <row r="35" spans="1:27" x14ac:dyDescent="0.3">
      <c r="A35" s="169" t="s">
        <v>73</v>
      </c>
      <c r="B35" s="171">
        <v>444.07100000000003</v>
      </c>
      <c r="C35" s="172">
        <f>B35*C36/1000000000</f>
        <v>1.776284</v>
      </c>
      <c r="D35" s="173"/>
      <c r="E35" s="10"/>
      <c r="F35" s="169" t="s">
        <v>73</v>
      </c>
      <c r="G35" s="174">
        <v>642.86</v>
      </c>
      <c r="H35" s="172">
        <f>G35*H36/1000000000</f>
        <v>2.1683349967196182</v>
      </c>
      <c r="I35" s="173"/>
      <c r="K35" s="169" t="s">
        <v>73</v>
      </c>
      <c r="L35" s="174">
        <v>368.74700000000001</v>
      </c>
      <c r="M35" s="172">
        <f>L35*M36/1000000000</f>
        <v>3.7702959965345211</v>
      </c>
      <c r="N35" s="173"/>
      <c r="P35" s="169" t="s">
        <v>73</v>
      </c>
      <c r="Q35" s="174">
        <v>412.53199999999998</v>
      </c>
      <c r="R35" s="172">
        <f>Q35*R36/1000000000</f>
        <v>2.2312965230009403</v>
      </c>
      <c r="S35" s="173"/>
      <c r="U35" s="169" t="s">
        <v>73</v>
      </c>
      <c r="V35" s="171">
        <v>503.74900000000002</v>
      </c>
      <c r="W35" s="172">
        <f>V35*W36/1000000000</f>
        <v>4.0104717262499996</v>
      </c>
      <c r="X35" s="173"/>
    </row>
    <row r="36" spans="1:27" x14ac:dyDescent="0.3">
      <c r="A36" s="169" t="s">
        <v>74</v>
      </c>
      <c r="B36" s="175"/>
      <c r="C36" s="176">
        <v>4000000</v>
      </c>
      <c r="D36" s="177"/>
      <c r="E36" s="10"/>
      <c r="F36" s="169" t="s">
        <v>75</v>
      </c>
      <c r="G36" s="178"/>
      <c r="H36" s="179">
        <v>3372950.5595613639</v>
      </c>
      <c r="I36" s="177"/>
      <c r="K36" s="169" t="s">
        <v>75</v>
      </c>
      <c r="L36" s="178"/>
      <c r="M36" s="179">
        <v>10224614.699331848</v>
      </c>
      <c r="N36" s="177"/>
      <c r="P36" s="169" t="s">
        <v>75</v>
      </c>
      <c r="Q36" s="178"/>
      <c r="R36" s="56">
        <v>5408784.1015992472</v>
      </c>
      <c r="S36" s="177"/>
      <c r="U36" s="169" t="s">
        <v>75</v>
      </c>
      <c r="V36" s="175"/>
      <c r="W36" s="176">
        <v>7961250</v>
      </c>
      <c r="X36" s="177"/>
      <c r="Y36" s="180">
        <f>AVERAGE(W36,R36,M36,H36,C36)</f>
        <v>6193519.8720984925</v>
      </c>
    </row>
    <row r="37" spans="1:27" x14ac:dyDescent="0.3">
      <c r="A37" s="169" t="s">
        <v>76</v>
      </c>
      <c r="B37" s="178"/>
      <c r="C37" s="181">
        <v>56307000.262467191</v>
      </c>
      <c r="D37" s="177"/>
      <c r="E37" s="10"/>
      <c r="F37" s="169" t="s">
        <v>76</v>
      </c>
      <c r="G37" s="178"/>
      <c r="H37" s="181">
        <v>86494535.07874015</v>
      </c>
      <c r="I37" s="177"/>
      <c r="K37" s="169" t="s">
        <v>76</v>
      </c>
      <c r="L37" s="178"/>
      <c r="M37" s="181">
        <v>78367249.026246712</v>
      </c>
      <c r="N37" s="177"/>
      <c r="P37" s="169" t="s">
        <v>76</v>
      </c>
      <c r="Q37" s="178"/>
      <c r="R37" s="181">
        <v>88072384.932541355</v>
      </c>
      <c r="S37" s="177"/>
      <c r="U37" s="169" t="s">
        <v>76</v>
      </c>
      <c r="V37" s="178"/>
      <c r="W37" s="181">
        <v>168513847.76902887</v>
      </c>
      <c r="X37" s="177"/>
      <c r="Y37" s="161">
        <f>AVERAGE(W37,R37,M37,H37,C37)</f>
        <v>95551003.413804859</v>
      </c>
      <c r="Z37" s="161">
        <f>AVERAGE(R37,M37,H37)</f>
        <v>84311389.679176077</v>
      </c>
    </row>
    <row r="38" spans="1:27" x14ac:dyDescent="0.3">
      <c r="A38" s="182"/>
      <c r="B38" s="152"/>
      <c r="C38" s="183"/>
      <c r="D38" s="184"/>
      <c r="E38" s="10"/>
      <c r="F38" s="182"/>
      <c r="G38" s="152"/>
      <c r="H38" s="183"/>
      <c r="I38" s="184"/>
      <c r="K38" s="182"/>
      <c r="L38" s="152"/>
      <c r="M38" s="183"/>
      <c r="N38" s="184"/>
      <c r="O38" s="185"/>
      <c r="P38" s="182"/>
      <c r="Q38" s="152"/>
      <c r="R38" s="183"/>
      <c r="S38" s="184"/>
      <c r="U38" s="182"/>
      <c r="V38" s="152"/>
      <c r="W38" s="183"/>
      <c r="X38" s="184"/>
    </row>
    <row r="40" spans="1:27" ht="15.05" customHeight="1" x14ac:dyDescent="0.3">
      <c r="A40" s="359" t="s">
        <v>77</v>
      </c>
      <c r="F40" s="359" t="s">
        <v>77</v>
      </c>
      <c r="K40" s="359" t="s">
        <v>77</v>
      </c>
      <c r="P40" s="359" t="s">
        <v>77</v>
      </c>
      <c r="U40" s="359" t="s">
        <v>77</v>
      </c>
    </row>
    <row r="41" spans="1:27" x14ac:dyDescent="0.3">
      <c r="A41" s="359"/>
      <c r="B41" s="33" t="s">
        <v>78</v>
      </c>
      <c r="C41" s="185" t="s">
        <v>39</v>
      </c>
      <c r="F41" s="359"/>
      <c r="G41" s="33" t="s">
        <v>78</v>
      </c>
      <c r="H41" s="185" t="s">
        <v>39</v>
      </c>
      <c r="K41" s="359"/>
      <c r="L41" s="33" t="s">
        <v>78</v>
      </c>
      <c r="M41" s="185" t="s">
        <v>39</v>
      </c>
      <c r="P41" s="359"/>
      <c r="Q41" s="33" t="s">
        <v>78</v>
      </c>
      <c r="R41" s="185" t="s">
        <v>39</v>
      </c>
      <c r="U41" s="359"/>
      <c r="V41" s="33" t="s">
        <v>78</v>
      </c>
      <c r="W41" s="185" t="s">
        <v>39</v>
      </c>
    </row>
    <row r="42" spans="1:27" x14ac:dyDescent="0.3">
      <c r="A42" s="186" t="s">
        <v>79</v>
      </c>
      <c r="B42" s="187">
        <f>(B27+B24)/B24</f>
        <v>45.699529760946909</v>
      </c>
      <c r="C42" s="188">
        <f>C24/B42</f>
        <v>22051.477442523428</v>
      </c>
      <c r="D42" s="163"/>
      <c r="F42" s="186" t="s">
        <v>79</v>
      </c>
      <c r="G42" s="187">
        <f>(G27+G24)/G24</f>
        <v>4.531491185721249</v>
      </c>
      <c r="H42" s="188">
        <f>H24/G42</f>
        <v>2161968.6581691355</v>
      </c>
      <c r="K42" s="186" t="s">
        <v>79</v>
      </c>
      <c r="L42" s="187">
        <f>(L27+L24)/L24</f>
        <v>5.4849002309085293</v>
      </c>
      <c r="M42" s="188">
        <f>M24/L42</f>
        <v>1274304.0823949857</v>
      </c>
      <c r="P42" s="186" t="s">
        <v>79</v>
      </c>
      <c r="Q42" s="187">
        <f>(Q27+Q24)/Q24</f>
        <v>4.6117988376417944</v>
      </c>
      <c r="R42" s="188">
        <f>R24/Q42</f>
        <v>2114977.9248829135</v>
      </c>
      <c r="U42" s="186" t="s">
        <v>79</v>
      </c>
      <c r="V42" s="187">
        <f>(V27+V24)/V24</f>
        <v>7.7135348661923961</v>
      </c>
      <c r="W42" s="188">
        <f>W24/V42</f>
        <v>1301640.0139474585</v>
      </c>
    </row>
    <row r="43" spans="1:27" x14ac:dyDescent="0.3">
      <c r="A43" t="s">
        <v>80</v>
      </c>
      <c r="B43" s="187">
        <f>(B28+B24)/B24</f>
        <v>23.349764880473455</v>
      </c>
      <c r="C43" s="188">
        <f>C42/B43</f>
        <v>944.39826505337805</v>
      </c>
      <c r="D43" s="163"/>
      <c r="F43" t="s">
        <v>80</v>
      </c>
      <c r="G43" s="187">
        <f>(G27+G24)/G24</f>
        <v>4.531491185721249</v>
      </c>
      <c r="H43" s="188">
        <f>H42/G43</f>
        <v>477098.72303878894</v>
      </c>
      <c r="K43" t="s">
        <v>80</v>
      </c>
      <c r="L43" s="187">
        <f>(L27+L24)/L24</f>
        <v>5.4849002309085293</v>
      </c>
      <c r="M43" s="188">
        <f>M42/L43</f>
        <v>232329.49164946025</v>
      </c>
      <c r="P43" t="s">
        <v>80</v>
      </c>
      <c r="Q43" s="187">
        <f>(Q27+Q24)/Q24</f>
        <v>4.6117988376417944</v>
      </c>
      <c r="R43" s="188">
        <f>R42/Q43</f>
        <v>458601.51306261012</v>
      </c>
      <c r="U43" t="s">
        <v>80</v>
      </c>
      <c r="V43" s="187">
        <f>(V27+V24)/V24</f>
        <v>7.7135348661923961</v>
      </c>
      <c r="W43" s="188">
        <f>W42/V43</f>
        <v>168747.53748147408</v>
      </c>
    </row>
    <row r="44" spans="1:27" x14ac:dyDescent="0.3">
      <c r="A44" t="s">
        <v>81</v>
      </c>
      <c r="B44" s="187">
        <f>(B28+B24)/B24</f>
        <v>23.349764880473455</v>
      </c>
      <c r="C44" s="188">
        <f>C43/B44</f>
        <v>40.445729106383567</v>
      </c>
      <c r="F44" t="s">
        <v>81</v>
      </c>
      <c r="G44" s="187">
        <f>(G27+G24)/G24</f>
        <v>4.531491185721249</v>
      </c>
      <c r="H44" s="188">
        <f>H43/G44</f>
        <v>105285.14863763376</v>
      </c>
      <c r="K44" t="s">
        <v>81</v>
      </c>
      <c r="L44" s="187">
        <f>(L27+L24)/L24</f>
        <v>5.4849002309085293</v>
      </c>
      <c r="M44" s="188">
        <f>M43/L44</f>
        <v>42358.015983633806</v>
      </c>
      <c r="P44" t="s">
        <v>81</v>
      </c>
      <c r="Q44" s="187">
        <f>(Q27+Q24)/Q24</f>
        <v>4.6117988376417944</v>
      </c>
      <c r="R44" s="188">
        <f>R43/Q44</f>
        <v>99440.918654013163</v>
      </c>
      <c r="U44" t="s">
        <v>81</v>
      </c>
      <c r="V44" s="187">
        <f>(V27+V24)/V24</f>
        <v>7.7135348661923961</v>
      </c>
      <c r="W44" s="188">
        <f>W43/V44</f>
        <v>21876.810101822008</v>
      </c>
    </row>
    <row r="45" spans="1:27" x14ac:dyDescent="0.3">
      <c r="A45" t="s">
        <v>82</v>
      </c>
      <c r="B45" s="36">
        <f>B42*B43*B44</f>
        <v>24915.910083035105</v>
      </c>
      <c r="C45" s="188">
        <f>C24/B45</f>
        <v>40.445729106383574</v>
      </c>
      <c r="F45" t="s">
        <v>82</v>
      </c>
      <c r="G45" s="36">
        <f>G42*G43*G44</f>
        <v>93.051508641715074</v>
      </c>
      <c r="H45" s="188">
        <f>H24/G45</f>
        <v>105285.14863763377</v>
      </c>
      <c r="K45" t="s">
        <v>82</v>
      </c>
      <c r="L45" s="36">
        <f>L42*L43*L44</f>
        <v>165.00845456209515</v>
      </c>
      <c r="M45" s="188">
        <f>M24/L45</f>
        <v>42358.015983633806</v>
      </c>
      <c r="P45" t="s">
        <v>82</v>
      </c>
      <c r="Q45" s="36">
        <f>Q42*Q43*Q44</f>
        <v>98.086912989509443</v>
      </c>
      <c r="R45" s="188">
        <f>R24/Q45</f>
        <v>99440.918654013149</v>
      </c>
      <c r="U45" t="s">
        <v>82</v>
      </c>
      <c r="V45" s="36">
        <f>V42*V43*V44</f>
        <v>458.94468087825459</v>
      </c>
      <c r="W45" s="188">
        <f>W24/V45</f>
        <v>21876.810101822008</v>
      </c>
      <c r="Y45" s="161">
        <f>AVERAGE(W45,R45,M45,H45,C45)</f>
        <v>53800.267821241825</v>
      </c>
    </row>
    <row r="46" spans="1:27" x14ac:dyDescent="0.3">
      <c r="A46" t="s">
        <v>83</v>
      </c>
      <c r="C46" s="189">
        <f>C45*100/C22</f>
        <v>7.0567758667667836E-5</v>
      </c>
      <c r="F46" t="s">
        <v>83</v>
      </c>
      <c r="H46" s="190">
        <f>H45*100/H22</f>
        <v>0.10934004952574476</v>
      </c>
      <c r="K46" t="s">
        <v>83</v>
      </c>
      <c r="M46" s="190">
        <f>M45*100/M22</f>
        <v>4.9624723093499495E-2</v>
      </c>
      <c r="P46" t="s">
        <v>83</v>
      </c>
      <c r="R46" s="190">
        <f>R45*100/R22</f>
        <v>0.10165056024267848</v>
      </c>
      <c r="U46" t="s">
        <v>83</v>
      </c>
      <c r="W46" s="190">
        <f>W45*100/W22</f>
        <v>1.2252203063657768E-2</v>
      </c>
      <c r="X46" s="190"/>
      <c r="Y46" s="191">
        <f>Y45*100/Y22</f>
        <v>5.2198481189113251E-2</v>
      </c>
      <c r="Z46" s="180">
        <f>AVERAGE(W46,R46,M46,H46,C46)</f>
        <v>5.4587620736849626E-2</v>
      </c>
      <c r="AA46" s="166">
        <f>AVERAGE(R46,M46,H46)</f>
        <v>8.6871777620640911E-2</v>
      </c>
    </row>
    <row r="47" spans="1:27" x14ac:dyDescent="0.3">
      <c r="A47" t="s">
        <v>84</v>
      </c>
      <c r="C47" s="189">
        <f>C45*100/C36</f>
        <v>1.0111432276595893E-3</v>
      </c>
      <c r="F47" t="s">
        <v>84</v>
      </c>
      <c r="H47" s="192">
        <f>H45*100/H36</f>
        <v>3.1214554372633794</v>
      </c>
      <c r="K47" t="s">
        <v>84</v>
      </c>
      <c r="M47" s="191">
        <f>M45*100/M36</f>
        <v>0.41427493582131553</v>
      </c>
      <c r="P47" t="s">
        <v>84</v>
      </c>
      <c r="R47" s="192">
        <f>R45*100/R36</f>
        <v>1.8385078196153339</v>
      </c>
      <c r="U47" t="s">
        <v>84</v>
      </c>
      <c r="W47" s="191">
        <f>W45*100/W36</f>
        <v>0.27479114588565878</v>
      </c>
      <c r="Y47" s="191">
        <f>Y45*100/Y36</f>
        <v>0.86865415680039115</v>
      </c>
      <c r="Z47" s="180">
        <f>AVERAGE(W47,R47,M47,H47,C47)</f>
        <v>1.1300080963626695</v>
      </c>
      <c r="AA47" s="166">
        <f>AVERAGE(R47,M47,H47)</f>
        <v>1.7914127309000094</v>
      </c>
    </row>
    <row r="48" spans="1:27" x14ac:dyDescent="0.3">
      <c r="A48" t="s">
        <v>85</v>
      </c>
      <c r="C48" s="189">
        <f>C45*100/C24</f>
        <v>4.0134997945785898E-3</v>
      </c>
      <c r="F48" t="s">
        <v>85</v>
      </c>
      <c r="H48" s="189">
        <f>H45*100/H24</f>
        <v>1.0746736023919758</v>
      </c>
      <c r="K48" t="s">
        <v>85</v>
      </c>
      <c r="M48" s="189">
        <f>M45*100/M24</f>
        <v>0.60602955324551877</v>
      </c>
      <c r="P48" t="s">
        <v>85</v>
      </c>
      <c r="R48" s="189">
        <f>R45*100/R24</f>
        <v>1.019503998568037</v>
      </c>
      <c r="U48" t="s">
        <v>85</v>
      </c>
      <c r="W48" s="189">
        <f>W45*100/W24</f>
        <v>0.21789118420249706</v>
      </c>
      <c r="Z48" s="180">
        <f>AVERAGE(W48,R48,M48,H48,C48)</f>
        <v>0.58442236764052136</v>
      </c>
    </row>
    <row r="53" spans="25:26" x14ac:dyDescent="0.3">
      <c r="Y53">
        <f>Y26/Z46</f>
        <v>0</v>
      </c>
      <c r="Z53">
        <f>AA26/AA46</f>
        <v>109.3160359669867</v>
      </c>
    </row>
  </sheetData>
  <mergeCells count="12">
    <mergeCell ref="U27:U28"/>
    <mergeCell ref="A40:A41"/>
    <mergeCell ref="F40:F41"/>
    <mergeCell ref="K40:K41"/>
    <mergeCell ref="P40:P41"/>
    <mergeCell ref="U40:U41"/>
    <mergeCell ref="P27:P28"/>
    <mergeCell ref="F1:I1"/>
    <mergeCell ref="A2:C2"/>
    <mergeCell ref="A27:A28"/>
    <mergeCell ref="F27:F28"/>
    <mergeCell ref="K27:K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E16" sqref="E16"/>
    </sheetView>
  </sheetViews>
  <sheetFormatPr defaultColWidth="11.5546875" defaultRowHeight="15.05" x14ac:dyDescent="0.3"/>
  <cols>
    <col min="4" max="4" width="15.88671875" customWidth="1"/>
    <col min="5" max="5" width="14" customWidth="1"/>
    <col min="10" max="10" width="16.44140625" customWidth="1"/>
    <col min="11" max="11" width="15.88671875" customWidth="1"/>
  </cols>
  <sheetData>
    <row r="1" spans="1:6" ht="15.65" x14ac:dyDescent="0.3">
      <c r="A1" s="360" t="s">
        <v>86</v>
      </c>
      <c r="B1" s="361"/>
      <c r="C1" s="362"/>
      <c r="D1" s="360" t="s">
        <v>87</v>
      </c>
      <c r="E1" s="362"/>
      <c r="F1" s="193"/>
    </row>
    <row r="2" spans="1:6" ht="15.65" x14ac:dyDescent="0.3">
      <c r="A2" s="194"/>
      <c r="B2" s="195"/>
      <c r="C2" s="195"/>
      <c r="D2" s="194"/>
      <c r="E2" s="196"/>
      <c r="F2" s="193"/>
    </row>
    <row r="3" spans="1:6" ht="15.65" x14ac:dyDescent="0.3">
      <c r="A3" s="197"/>
      <c r="B3" s="198" t="s">
        <v>88</v>
      </c>
      <c r="C3" s="198"/>
      <c r="D3" s="199" t="s">
        <v>88</v>
      </c>
      <c r="E3" s="200"/>
      <c r="F3" s="193"/>
    </row>
    <row r="4" spans="1:6" ht="15.65" x14ac:dyDescent="0.3">
      <c r="A4" s="194">
        <v>11</v>
      </c>
      <c r="B4" s="201">
        <v>87.715868361029749</v>
      </c>
      <c r="C4" s="202"/>
      <c r="D4" s="203">
        <v>57.913669064748149</v>
      </c>
      <c r="E4" s="204"/>
      <c r="F4" s="193"/>
    </row>
    <row r="5" spans="1:6" ht="15.65" x14ac:dyDescent="0.3">
      <c r="A5" s="205"/>
      <c r="B5" s="206"/>
      <c r="C5" s="198"/>
      <c r="D5" s="205"/>
      <c r="E5" s="204"/>
      <c r="F5" s="193"/>
    </row>
    <row r="6" spans="1:6" ht="15.65" x14ac:dyDescent="0.3">
      <c r="A6" s="194">
        <v>12</v>
      </c>
      <c r="B6" s="202">
        <v>88.824779836015793</v>
      </c>
      <c r="C6" s="202"/>
      <c r="D6" s="207">
        <v>38.53802741198605</v>
      </c>
      <c r="E6" s="208"/>
      <c r="F6" s="193"/>
    </row>
    <row r="7" spans="1:6" ht="15.65" x14ac:dyDescent="0.3">
      <c r="A7" s="197"/>
      <c r="B7" s="209">
        <v>85.526315789473685</v>
      </c>
      <c r="C7" s="209"/>
      <c r="D7" s="210">
        <v>43.488555643251694</v>
      </c>
      <c r="E7" s="211"/>
      <c r="F7" s="193"/>
    </row>
    <row r="8" spans="1:6" ht="15.65" x14ac:dyDescent="0.3">
      <c r="A8" s="212"/>
      <c r="B8" s="213"/>
      <c r="C8" s="214"/>
      <c r="D8" s="215"/>
      <c r="E8" s="216"/>
      <c r="F8" s="193"/>
    </row>
    <row r="9" spans="1:6" ht="15.65" x14ac:dyDescent="0.3">
      <c r="A9" s="194">
        <v>13</v>
      </c>
      <c r="B9" s="202">
        <v>86.733416770963601</v>
      </c>
      <c r="C9" s="202"/>
      <c r="D9" s="207">
        <v>63.298743855816433</v>
      </c>
      <c r="E9" s="208"/>
      <c r="F9" s="193"/>
    </row>
    <row r="10" spans="1:6" ht="15.65" x14ac:dyDescent="0.3">
      <c r="A10" s="217"/>
      <c r="B10" s="209">
        <v>89.33200398803595</v>
      </c>
      <c r="C10" s="209"/>
      <c r="D10" s="210">
        <v>69.461581604038159</v>
      </c>
      <c r="E10" s="211"/>
      <c r="F10" s="193"/>
    </row>
    <row r="11" spans="1:6" ht="15.65" x14ac:dyDescent="0.3">
      <c r="A11" s="212"/>
      <c r="B11" s="214"/>
      <c r="C11" s="214"/>
      <c r="D11" s="218"/>
      <c r="E11" s="219"/>
      <c r="F11" s="193"/>
    </row>
    <row r="12" spans="1:6" ht="15.65" x14ac:dyDescent="0.3">
      <c r="A12" s="194">
        <v>14</v>
      </c>
      <c r="B12" s="202">
        <v>86.603600854439975</v>
      </c>
      <c r="C12" s="202"/>
      <c r="D12" s="207">
        <v>49.351337039978795</v>
      </c>
      <c r="E12" s="208"/>
      <c r="F12" s="193"/>
    </row>
    <row r="13" spans="1:6" ht="15.65" x14ac:dyDescent="0.3">
      <c r="A13" s="212"/>
      <c r="B13" s="214">
        <v>82.888349514563146</v>
      </c>
      <c r="C13" s="214"/>
      <c r="D13" s="215"/>
      <c r="E13" s="219"/>
      <c r="F13" s="193"/>
    </row>
    <row r="14" spans="1:6" ht="15.65" x14ac:dyDescent="0.3">
      <c r="A14" s="220"/>
      <c r="B14" s="221" t="s">
        <v>46</v>
      </c>
      <c r="C14" s="221" t="s">
        <v>50</v>
      </c>
      <c r="D14" s="205" t="s">
        <v>46</v>
      </c>
      <c r="E14" s="204" t="s">
        <v>50</v>
      </c>
      <c r="F14" s="193"/>
    </row>
    <row r="15" spans="1:6" ht="15.65" x14ac:dyDescent="0.3">
      <c r="A15" s="205"/>
      <c r="B15" s="222">
        <f>AVERAGE(B4:B13)</f>
        <v>86.80347644493169</v>
      </c>
      <c r="C15" s="222">
        <f>STDEV(B4:B13)/SQRT(7)</f>
        <v>0.82108805243762217</v>
      </c>
      <c r="D15" s="223">
        <f>AVERAGE(D4:D13)</f>
        <v>53.675319103303217</v>
      </c>
      <c r="E15" s="211">
        <f>STDEV(D4:D13)/SQRT(6)</f>
        <v>4.8695809830966059</v>
      </c>
      <c r="F15" s="193"/>
    </row>
    <row r="16" spans="1:6" ht="15.65" x14ac:dyDescent="0.3">
      <c r="A16" s="212" t="s">
        <v>89</v>
      </c>
      <c r="B16" s="224">
        <f>B15*10</f>
        <v>868.03476444931687</v>
      </c>
      <c r="C16" s="225">
        <f>C15*10</f>
        <v>8.210880524376222</v>
      </c>
      <c r="D16" s="226">
        <f>D15*10</f>
        <v>536.75319103303218</v>
      </c>
      <c r="E16" s="227">
        <f>E15*10</f>
        <v>48.695809830966056</v>
      </c>
      <c r="F16" s="193"/>
    </row>
  </sheetData>
  <mergeCells count="2">
    <mergeCell ref="A1:C1"/>
    <mergeCell ref="D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H20" sqref="H20"/>
    </sheetView>
  </sheetViews>
  <sheetFormatPr defaultColWidth="11.5546875" defaultRowHeight="15.05" x14ac:dyDescent="0.3"/>
  <sheetData>
    <row r="1" spans="1:5" ht="15.65" x14ac:dyDescent="0.3">
      <c r="A1" s="360" t="s">
        <v>90</v>
      </c>
      <c r="B1" s="363"/>
      <c r="C1" s="364"/>
      <c r="D1" s="363" t="s">
        <v>91</v>
      </c>
      <c r="E1" s="364"/>
    </row>
    <row r="2" spans="1:5" ht="15.65" x14ac:dyDescent="0.3">
      <c r="A2" s="194"/>
      <c r="B2" s="195"/>
      <c r="C2" s="196"/>
      <c r="D2" s="194"/>
      <c r="E2" s="196"/>
    </row>
    <row r="3" spans="1:5" ht="15.65" x14ac:dyDescent="0.3">
      <c r="A3" s="197"/>
      <c r="B3" s="198" t="s">
        <v>92</v>
      </c>
      <c r="C3" s="204"/>
      <c r="D3" s="199" t="s">
        <v>92</v>
      </c>
      <c r="E3" s="200"/>
    </row>
    <row r="4" spans="1:5" ht="15.65" x14ac:dyDescent="0.3">
      <c r="A4" s="194">
        <v>11</v>
      </c>
      <c r="B4" s="201">
        <v>4.3981481481481453</v>
      </c>
      <c r="C4" s="208"/>
      <c r="D4" s="228">
        <v>23.481527864746401</v>
      </c>
      <c r="E4" s="204"/>
    </row>
    <row r="5" spans="1:5" ht="15.65" x14ac:dyDescent="0.3">
      <c r="A5" s="205"/>
      <c r="B5" s="206"/>
      <c r="C5" s="204"/>
      <c r="D5" s="198"/>
      <c r="E5" s="204"/>
    </row>
    <row r="6" spans="1:5" ht="15.65" x14ac:dyDescent="0.3">
      <c r="A6" s="194">
        <v>12</v>
      </c>
      <c r="B6" s="202">
        <v>3.6789297658863154</v>
      </c>
      <c r="C6" s="208"/>
      <c r="D6" s="229">
        <v>38.69294605809128</v>
      </c>
      <c r="E6" s="230"/>
    </row>
    <row r="7" spans="1:5" ht="15.65" x14ac:dyDescent="0.3">
      <c r="A7" s="197"/>
      <c r="B7" s="209"/>
      <c r="C7" s="211"/>
      <c r="D7" s="231"/>
      <c r="E7" s="232"/>
    </row>
    <row r="8" spans="1:5" ht="15.65" x14ac:dyDescent="0.3">
      <c r="A8" s="212"/>
      <c r="B8" s="214"/>
      <c r="C8" s="219"/>
      <c r="D8" s="233"/>
      <c r="E8" s="216"/>
    </row>
    <row r="9" spans="1:5" ht="15.65" x14ac:dyDescent="0.3">
      <c r="A9" s="194">
        <v>13</v>
      </c>
      <c r="B9" s="202">
        <v>5.8321479374110847</v>
      </c>
      <c r="C9" s="208"/>
      <c r="D9" s="229">
        <v>27.889849503682356</v>
      </c>
      <c r="E9" s="230"/>
    </row>
    <row r="10" spans="1:5" ht="15.65" x14ac:dyDescent="0.3">
      <c r="A10" s="197"/>
      <c r="B10" s="209">
        <v>4.4776119402985115</v>
      </c>
      <c r="C10" s="211"/>
      <c r="D10" s="222">
        <v>26.182483979249326</v>
      </c>
      <c r="E10" s="232"/>
    </row>
    <row r="11" spans="1:5" ht="15.65" x14ac:dyDescent="0.3">
      <c r="A11" s="212"/>
      <c r="B11" s="213"/>
      <c r="C11" s="219"/>
      <c r="D11" s="234"/>
      <c r="E11" s="216"/>
    </row>
    <row r="12" spans="1:5" ht="15.65" x14ac:dyDescent="0.3">
      <c r="A12" s="194">
        <v>14</v>
      </c>
      <c r="B12" s="235">
        <v>4.851625058878934</v>
      </c>
      <c r="C12" s="208"/>
      <c r="D12" s="229">
        <v>27.699648417880478</v>
      </c>
      <c r="E12" s="230"/>
    </row>
    <row r="13" spans="1:5" ht="15.65" x14ac:dyDescent="0.3">
      <c r="A13" s="212"/>
      <c r="B13" s="236">
        <v>4.8495734171531097</v>
      </c>
      <c r="C13" s="237"/>
      <c r="D13" s="234">
        <v>23.290386521308189</v>
      </c>
      <c r="E13" s="238"/>
    </row>
    <row r="14" spans="1:5" ht="15.65" x14ac:dyDescent="0.3">
      <c r="A14" s="220"/>
      <c r="B14" s="221" t="s">
        <v>46</v>
      </c>
      <c r="C14" s="239" t="s">
        <v>50</v>
      </c>
      <c r="D14" s="221" t="s">
        <v>46</v>
      </c>
      <c r="E14" s="239" t="s">
        <v>50</v>
      </c>
    </row>
    <row r="15" spans="1:5" ht="15.65" x14ac:dyDescent="0.3">
      <c r="A15" s="205"/>
      <c r="B15" s="222">
        <f>AVERAGE(B4:B13)</f>
        <v>4.6813393779626837</v>
      </c>
      <c r="C15" s="232">
        <f>STDEV(B4:B13)/SQRT(6)</f>
        <v>0.28914744897435385</v>
      </c>
      <c r="D15" s="222">
        <f>AVERAGE(D4:D13)</f>
        <v>27.872807057493006</v>
      </c>
      <c r="E15" s="232">
        <f>STDEV(D4:D13)/SQRT(6)</f>
        <v>2.3111669879064265</v>
      </c>
    </row>
    <row r="16" spans="1:5" ht="15.65" x14ac:dyDescent="0.3">
      <c r="A16" s="212" t="s">
        <v>89</v>
      </c>
      <c r="B16" s="224">
        <f>B15*10</f>
        <v>46.813393779626836</v>
      </c>
      <c r="C16" s="227">
        <f>C15*10</f>
        <v>2.8914744897435387</v>
      </c>
      <c r="D16" s="224">
        <f>D15*10</f>
        <v>278.72807057493003</v>
      </c>
      <c r="E16" s="227">
        <f>E15*10</f>
        <v>23.111669879064266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O25" sqref="O25"/>
    </sheetView>
  </sheetViews>
  <sheetFormatPr defaultColWidth="11.5546875" defaultRowHeight="15.05" x14ac:dyDescent="0.3"/>
  <cols>
    <col min="1" max="1" width="21.109375" customWidth="1"/>
  </cols>
  <sheetData>
    <row r="1" spans="1:16" x14ac:dyDescent="0.3">
      <c r="F1" s="240" t="s">
        <v>93</v>
      </c>
      <c r="G1" s="241"/>
      <c r="H1" s="240"/>
      <c r="I1" s="240"/>
      <c r="J1" s="242"/>
      <c r="K1" s="242"/>
      <c r="L1" s="242"/>
      <c r="M1" s="242"/>
      <c r="N1" s="242"/>
      <c r="O1" s="242"/>
      <c r="P1" s="242"/>
    </row>
    <row r="2" spans="1:16" x14ac:dyDescent="0.3">
      <c r="F2" s="243" t="s">
        <v>94</v>
      </c>
      <c r="G2" s="244"/>
      <c r="H2" s="244"/>
      <c r="I2" s="244"/>
      <c r="J2" s="244"/>
      <c r="K2" s="244"/>
      <c r="L2" s="244"/>
      <c r="M2" s="244"/>
      <c r="N2" s="244"/>
      <c r="O2" s="245"/>
    </row>
    <row r="3" spans="1:16" x14ac:dyDescent="0.3">
      <c r="F3" s="246"/>
      <c r="G3" s="247" t="s">
        <v>95</v>
      </c>
      <c r="H3" s="247" t="s">
        <v>96</v>
      </c>
      <c r="I3" s="247" t="s">
        <v>97</v>
      </c>
      <c r="J3" s="247" t="s">
        <v>98</v>
      </c>
      <c r="K3" s="247" t="s">
        <v>99</v>
      </c>
      <c r="L3" s="247" t="s">
        <v>100</v>
      </c>
      <c r="M3" s="247" t="s">
        <v>101</v>
      </c>
      <c r="N3" s="247"/>
      <c r="O3" s="248"/>
    </row>
    <row r="4" spans="1:16" x14ac:dyDescent="0.3">
      <c r="A4" s="249" t="s">
        <v>93</v>
      </c>
      <c r="B4" s="250"/>
      <c r="C4" s="250"/>
      <c r="D4" s="251"/>
      <c r="F4" s="252" t="s">
        <v>102</v>
      </c>
      <c r="G4" s="253">
        <v>0.87350000000000005</v>
      </c>
      <c r="H4" s="253">
        <v>2.7622</v>
      </c>
      <c r="I4" s="253">
        <v>1.0543</v>
      </c>
      <c r="J4" s="253">
        <v>2.7012</v>
      </c>
      <c r="K4" s="253">
        <f>J4-I4</f>
        <v>1.6469</v>
      </c>
      <c r="L4" s="253">
        <f t="shared" ref="L4:L8" si="0">H4-K4</f>
        <v>1.1153</v>
      </c>
      <c r="M4" s="254">
        <f>I4/L4</f>
        <v>0.94530619564242813</v>
      </c>
      <c r="N4" s="253"/>
      <c r="O4" s="255"/>
    </row>
    <row r="5" spans="1:16" x14ac:dyDescent="0.3">
      <c r="A5" s="256"/>
      <c r="B5" s="257" t="s">
        <v>103</v>
      </c>
      <c r="C5" s="257" t="s">
        <v>104</v>
      </c>
      <c r="D5" s="258"/>
      <c r="F5" s="252" t="s">
        <v>105</v>
      </c>
      <c r="G5" s="253">
        <v>0.89100000000000001</v>
      </c>
      <c r="H5" s="253">
        <v>2.7928000000000002</v>
      </c>
      <c r="I5" s="253">
        <v>0.90629999999999999</v>
      </c>
      <c r="J5" s="253">
        <v>2.7214999999999998</v>
      </c>
      <c r="K5" s="253">
        <f t="shared" ref="K5:K8" si="1">J5-I5</f>
        <v>1.8151999999999999</v>
      </c>
      <c r="L5" s="253">
        <f t="shared" si="0"/>
        <v>0.97760000000000025</v>
      </c>
      <c r="M5" s="254">
        <f t="shared" ref="M5:M8" si="2">I5/L5</f>
        <v>0.92706628477905051</v>
      </c>
      <c r="N5" s="253"/>
      <c r="O5" s="255"/>
    </row>
    <row r="6" spans="1:16" x14ac:dyDescent="0.3">
      <c r="A6" s="4">
        <v>1</v>
      </c>
      <c r="B6" s="5">
        <v>0.30640000000000001</v>
      </c>
      <c r="C6" s="259">
        <v>0.94364028333846628</v>
      </c>
      <c r="D6" s="260"/>
      <c r="F6" s="252" t="s">
        <v>106</v>
      </c>
      <c r="G6" s="253"/>
      <c r="H6" s="253">
        <v>2.7383999999999999</v>
      </c>
      <c r="I6" s="253">
        <v>0.69989999999999997</v>
      </c>
      <c r="J6" s="253">
        <v>2.6913</v>
      </c>
      <c r="K6" s="253">
        <f t="shared" si="1"/>
        <v>1.9914000000000001</v>
      </c>
      <c r="L6" s="253">
        <f t="shared" si="0"/>
        <v>0.74699999999999989</v>
      </c>
      <c r="M6" s="254">
        <f t="shared" si="2"/>
        <v>0.93694779116465876</v>
      </c>
      <c r="N6" s="253"/>
      <c r="O6" s="255"/>
    </row>
    <row r="7" spans="1:16" x14ac:dyDescent="0.3">
      <c r="A7" s="4">
        <v>2</v>
      </c>
      <c r="B7" s="5">
        <v>0.20780000000000001</v>
      </c>
      <c r="C7" s="259">
        <v>0.94842537654039227</v>
      </c>
      <c r="D7" s="260"/>
      <c r="F7" s="252" t="s">
        <v>107</v>
      </c>
      <c r="G7" s="253">
        <v>0.34310000000000002</v>
      </c>
      <c r="H7" s="253">
        <v>1.1679999999999999</v>
      </c>
      <c r="I7" s="261">
        <v>0.30640000000000001</v>
      </c>
      <c r="J7" s="253">
        <v>1.1496999999999999</v>
      </c>
      <c r="K7" s="253">
        <f t="shared" si="1"/>
        <v>0.84329999999999994</v>
      </c>
      <c r="L7" s="253">
        <f t="shared" si="0"/>
        <v>0.32469999999999999</v>
      </c>
      <c r="M7" s="262">
        <f t="shared" si="2"/>
        <v>0.94364028333846628</v>
      </c>
      <c r="N7" s="253"/>
      <c r="O7" s="255"/>
    </row>
    <row r="8" spans="1:16" x14ac:dyDescent="0.3">
      <c r="A8" s="4">
        <v>3</v>
      </c>
      <c r="B8" s="5">
        <v>0.36720000000000003</v>
      </c>
      <c r="C8" s="259">
        <v>0.92377358490566053</v>
      </c>
      <c r="D8" s="260"/>
      <c r="F8" s="252" t="s">
        <v>108</v>
      </c>
      <c r="G8" s="253">
        <v>0.3458</v>
      </c>
      <c r="H8" s="253">
        <v>1.1686000000000001</v>
      </c>
      <c r="I8" s="261">
        <v>0.20780000000000001</v>
      </c>
      <c r="J8" s="253">
        <v>1.1573</v>
      </c>
      <c r="K8" s="253">
        <f t="shared" si="1"/>
        <v>0.94950000000000001</v>
      </c>
      <c r="L8" s="253">
        <f t="shared" si="0"/>
        <v>0.21910000000000007</v>
      </c>
      <c r="M8" s="262">
        <f t="shared" si="2"/>
        <v>0.94842537654039227</v>
      </c>
      <c r="N8" s="253"/>
      <c r="O8" s="255"/>
    </row>
    <row r="9" spans="1:16" x14ac:dyDescent="0.3">
      <c r="A9" s="4">
        <v>4</v>
      </c>
      <c r="B9" s="5">
        <v>0.43440000000000001</v>
      </c>
      <c r="C9" s="259">
        <v>0.9321888412017173</v>
      </c>
      <c r="D9" s="260"/>
      <c r="F9" s="252"/>
      <c r="G9" s="253"/>
      <c r="H9" s="253"/>
      <c r="I9" s="253"/>
      <c r="J9" s="253"/>
      <c r="K9" s="253"/>
      <c r="L9" s="253"/>
      <c r="M9" s="253"/>
      <c r="N9" s="253"/>
      <c r="O9" s="255"/>
    </row>
    <row r="10" spans="1:16" x14ac:dyDescent="0.3">
      <c r="A10" s="4"/>
      <c r="B10" s="5"/>
      <c r="C10" s="5"/>
      <c r="D10" s="260"/>
      <c r="F10" s="252"/>
      <c r="G10" s="247" t="s">
        <v>95</v>
      </c>
      <c r="H10" s="247" t="s">
        <v>96</v>
      </c>
      <c r="I10" s="247" t="s">
        <v>97</v>
      </c>
      <c r="J10" s="247" t="s">
        <v>98</v>
      </c>
      <c r="K10" s="247" t="s">
        <v>99</v>
      </c>
      <c r="L10" s="247" t="s">
        <v>100</v>
      </c>
      <c r="M10" s="247" t="s">
        <v>101</v>
      </c>
      <c r="N10" s="253"/>
      <c r="O10" s="255"/>
    </row>
    <row r="11" spans="1:16" x14ac:dyDescent="0.3">
      <c r="A11" s="4"/>
      <c r="B11" s="5"/>
      <c r="C11" s="263">
        <f>AVERAGE(C6,C7,C9,C8)</f>
        <v>0.93700702149655912</v>
      </c>
      <c r="D11" s="258"/>
      <c r="F11" s="252">
        <v>1</v>
      </c>
      <c r="G11" s="253">
        <v>0.86099999999999999</v>
      </c>
      <c r="H11" s="253">
        <v>2.7486999999999999</v>
      </c>
      <c r="I11" s="253">
        <v>0.79159999999999997</v>
      </c>
      <c r="J11" s="253">
        <v>2.7195999999999998</v>
      </c>
      <c r="K11" s="253">
        <f>J11-I11</f>
        <v>1.9279999999999999</v>
      </c>
      <c r="L11" s="253">
        <f>H11-K11</f>
        <v>0.82069999999999999</v>
      </c>
      <c r="M11" s="254">
        <f>I11/L11</f>
        <v>0.96454246375045694</v>
      </c>
      <c r="N11" s="253"/>
      <c r="O11" s="255"/>
    </row>
    <row r="12" spans="1:16" x14ac:dyDescent="0.3">
      <c r="A12" s="4"/>
      <c r="B12" s="5"/>
      <c r="C12" s="263">
        <f>STDEV(C6,C7,C9,C8)/SQRT(4)</f>
        <v>5.5731327211397848E-3</v>
      </c>
      <c r="D12" s="264"/>
      <c r="F12" s="252">
        <v>2</v>
      </c>
      <c r="G12" s="253">
        <v>0.89339999999999997</v>
      </c>
      <c r="H12" s="253">
        <v>2.7555000000000001</v>
      </c>
      <c r="I12" s="261">
        <v>0.36720000000000003</v>
      </c>
      <c r="J12" s="253">
        <v>2.7252000000000001</v>
      </c>
      <c r="K12" s="253">
        <f t="shared" ref="K12:K13" si="3">J12-I12</f>
        <v>2.3580000000000001</v>
      </c>
      <c r="L12" s="253">
        <f t="shared" ref="L12:L13" si="4">H12-K12</f>
        <v>0.39749999999999996</v>
      </c>
      <c r="M12" s="262">
        <f t="shared" ref="M12:M13" si="5">I12/L12</f>
        <v>0.92377358490566053</v>
      </c>
      <c r="N12" s="253"/>
      <c r="O12" s="255"/>
    </row>
    <row r="13" spans="1:16" x14ac:dyDescent="0.3">
      <c r="A13" s="4" t="s">
        <v>109</v>
      </c>
      <c r="B13" s="5"/>
      <c r="C13" s="5"/>
      <c r="D13" s="260"/>
      <c r="F13" s="252">
        <v>3</v>
      </c>
      <c r="G13" s="253">
        <v>0.89329999999999998</v>
      </c>
      <c r="H13" s="253">
        <v>2.7475999999999998</v>
      </c>
      <c r="I13" s="261">
        <v>0.43440000000000001</v>
      </c>
      <c r="J13" s="253">
        <v>2.7160000000000002</v>
      </c>
      <c r="K13" s="253">
        <f t="shared" si="3"/>
        <v>2.2816000000000001</v>
      </c>
      <c r="L13" s="253">
        <f t="shared" si="4"/>
        <v>0.46599999999999975</v>
      </c>
      <c r="M13" s="262">
        <f t="shared" si="5"/>
        <v>0.9321888412017173</v>
      </c>
      <c r="N13" s="253"/>
      <c r="O13" s="255"/>
    </row>
    <row r="14" spans="1:16" x14ac:dyDescent="0.3">
      <c r="A14" s="265"/>
      <c r="B14" s="257" t="s">
        <v>110</v>
      </c>
      <c r="C14" s="174" t="s">
        <v>111</v>
      </c>
      <c r="D14" s="264"/>
      <c r="F14" s="252"/>
      <c r="G14" s="253"/>
      <c r="H14" s="253"/>
      <c r="I14" s="253"/>
      <c r="J14" s="253"/>
      <c r="K14" s="253"/>
      <c r="L14" s="253"/>
      <c r="M14" s="253"/>
      <c r="N14" s="253"/>
      <c r="O14" s="255"/>
    </row>
    <row r="15" spans="1:16" x14ac:dyDescent="0.3">
      <c r="A15" s="4">
        <v>1</v>
      </c>
      <c r="B15" s="174">
        <v>1.2208000000000001</v>
      </c>
      <c r="C15" s="266">
        <v>0.95048271566490183</v>
      </c>
      <c r="D15" s="260"/>
      <c r="F15" s="252"/>
      <c r="G15" s="253"/>
      <c r="H15" s="253"/>
      <c r="I15" s="253"/>
      <c r="J15" s="253"/>
      <c r="K15" s="253"/>
      <c r="L15" s="267" t="s">
        <v>112</v>
      </c>
      <c r="M15" s="268">
        <f>AVERAGE(M11:M13)</f>
        <v>0.94016829661927825</v>
      </c>
      <c r="N15" s="247"/>
      <c r="O15" s="255"/>
    </row>
    <row r="16" spans="1:16" x14ac:dyDescent="0.3">
      <c r="A16" s="4">
        <v>2</v>
      </c>
      <c r="B16" s="266">
        <v>0.39100000000000001</v>
      </c>
      <c r="C16" s="266">
        <v>0.90112929246370144</v>
      </c>
      <c r="D16" s="260"/>
      <c r="F16" s="252"/>
      <c r="G16" s="253"/>
      <c r="H16" s="253"/>
      <c r="I16" s="253"/>
      <c r="J16" s="253"/>
      <c r="K16" s="253"/>
      <c r="L16" s="267" t="s">
        <v>113</v>
      </c>
      <c r="M16" s="269">
        <f>STDEV(M11:M13)/SQRT(3)</f>
        <v>1.2426841273845555E-2</v>
      </c>
      <c r="N16" s="270"/>
      <c r="O16" s="255"/>
    </row>
    <row r="17" spans="1:15" ht="15.65" thickBot="1" x14ac:dyDescent="0.35">
      <c r="A17" s="4">
        <v>3</v>
      </c>
      <c r="B17" s="266">
        <v>0.56359999999999999</v>
      </c>
      <c r="C17" s="266">
        <v>0.90756843800322062</v>
      </c>
      <c r="D17" s="260"/>
      <c r="F17" s="252"/>
      <c r="G17" s="253"/>
      <c r="H17" s="253"/>
      <c r="I17" s="253"/>
      <c r="J17" s="253"/>
      <c r="K17" s="253"/>
      <c r="L17" s="253"/>
      <c r="M17" s="253"/>
      <c r="N17" s="253"/>
      <c r="O17" s="255"/>
    </row>
    <row r="18" spans="1:15" ht="15.65" thickBot="1" x14ac:dyDescent="0.35">
      <c r="A18" s="4">
        <v>4</v>
      </c>
      <c r="B18" s="266">
        <v>0.22270000000000001</v>
      </c>
      <c r="C18" s="266">
        <v>0.92869057547956546</v>
      </c>
      <c r="D18" s="260"/>
      <c r="F18" s="252"/>
      <c r="G18" s="253"/>
      <c r="H18" s="253"/>
      <c r="I18" s="253"/>
      <c r="J18" s="253"/>
      <c r="K18" s="253"/>
      <c r="L18" s="253"/>
      <c r="M18" s="271">
        <f>AVERAGE(M4,M5,M6,M7,M8,M11,M12,M13)</f>
        <v>0.94023635266535377</v>
      </c>
      <c r="N18" s="247"/>
      <c r="O18" s="272">
        <f>AVERAGE(M7,M8,M13,M12)</f>
        <v>0.93700702149655912</v>
      </c>
    </row>
    <row r="19" spans="1:15" ht="15.65" thickBot="1" x14ac:dyDescent="0.35">
      <c r="A19" s="4"/>
      <c r="B19" s="5"/>
      <c r="C19" s="5"/>
      <c r="D19" s="260"/>
      <c r="F19" s="252"/>
      <c r="G19" s="253"/>
      <c r="H19" s="253"/>
      <c r="I19" s="253"/>
      <c r="J19" s="253"/>
      <c r="K19" s="253"/>
      <c r="L19" s="253"/>
      <c r="M19" s="273">
        <f>STDEV(M4,M5,M6,M7,M8,M11,M12,M13)/SQRT(8)</f>
        <v>4.6583022809655152E-3</v>
      </c>
      <c r="N19" s="270"/>
      <c r="O19" s="272">
        <f>STDEV(M7,M8,M13,M12)/SQRT(4)</f>
        <v>5.5731327211397848E-3</v>
      </c>
    </row>
    <row r="20" spans="1:15" x14ac:dyDescent="0.3">
      <c r="A20" s="4"/>
      <c r="B20" s="5"/>
      <c r="C20" s="263">
        <f>AVERAGE(C15:C18)</f>
        <v>0.92196775540284737</v>
      </c>
      <c r="D20" s="258"/>
      <c r="F20" s="252"/>
      <c r="G20" s="253"/>
      <c r="H20" s="253"/>
      <c r="I20" s="253"/>
      <c r="J20" s="253"/>
      <c r="K20" s="253"/>
      <c r="L20" s="253"/>
      <c r="M20" s="274"/>
      <c r="N20" s="270"/>
      <c r="O20" s="255"/>
    </row>
    <row r="21" spans="1:15" x14ac:dyDescent="0.3">
      <c r="A21" s="275"/>
      <c r="B21" s="17"/>
      <c r="C21" s="276">
        <f>STDEV(C15:C18)/SQRT(4)</f>
        <v>1.1179896942622137E-2</v>
      </c>
      <c r="D21" s="277"/>
      <c r="F21" s="252"/>
      <c r="G21" s="253"/>
      <c r="H21" s="253"/>
      <c r="I21" s="253"/>
      <c r="J21" s="253"/>
      <c r="K21" s="253"/>
      <c r="L21" s="253"/>
      <c r="M21" s="274"/>
      <c r="N21" s="270"/>
      <c r="O21" s="255"/>
    </row>
    <row r="22" spans="1:15" x14ac:dyDescent="0.3">
      <c r="F22" s="252"/>
      <c r="G22" s="253"/>
      <c r="H22" s="253"/>
      <c r="I22" s="253"/>
      <c r="J22" s="253"/>
      <c r="K22" s="253"/>
      <c r="L22" s="253"/>
      <c r="M22" s="274"/>
      <c r="N22" s="270"/>
      <c r="O22" s="255"/>
    </row>
    <row r="23" spans="1:15" x14ac:dyDescent="0.3">
      <c r="F23" s="252"/>
      <c r="G23" s="253"/>
      <c r="H23" s="253"/>
      <c r="I23" s="253"/>
      <c r="J23" s="253"/>
      <c r="K23" s="253"/>
      <c r="L23" s="253"/>
      <c r="M23" s="253"/>
      <c r="N23" s="253"/>
      <c r="O23" s="255"/>
    </row>
    <row r="24" spans="1:15" x14ac:dyDescent="0.3">
      <c r="F24" s="252" t="s">
        <v>109</v>
      </c>
      <c r="G24" s="253"/>
      <c r="H24" s="253"/>
      <c r="I24" s="253"/>
      <c r="J24" s="253"/>
      <c r="K24" s="253"/>
      <c r="L24" s="253"/>
      <c r="M24" s="253"/>
      <c r="N24" s="253"/>
      <c r="O24" s="255"/>
    </row>
    <row r="25" spans="1:15" x14ac:dyDescent="0.3">
      <c r="F25" s="278" t="s">
        <v>114</v>
      </c>
      <c r="G25" s="279" t="s">
        <v>115</v>
      </c>
      <c r="H25" s="279" t="s">
        <v>116</v>
      </c>
      <c r="I25" s="279" t="s">
        <v>117</v>
      </c>
      <c r="J25" s="279" t="s">
        <v>118</v>
      </c>
      <c r="K25" s="279" t="s">
        <v>119</v>
      </c>
      <c r="L25" s="280" t="s">
        <v>120</v>
      </c>
      <c r="M25" s="281" t="s">
        <v>111</v>
      </c>
      <c r="N25" s="270"/>
      <c r="O25" s="255"/>
    </row>
    <row r="26" spans="1:15" x14ac:dyDescent="0.3">
      <c r="F26" s="282">
        <v>1</v>
      </c>
      <c r="G26" s="283">
        <v>0.88500000000000001</v>
      </c>
      <c r="H26" s="283">
        <v>2.7726000000000002</v>
      </c>
      <c r="I26" s="283">
        <v>1.2208000000000001</v>
      </c>
      <c r="J26" s="283">
        <v>2.7090000000000001</v>
      </c>
      <c r="K26" s="284">
        <f>J26-I26</f>
        <v>1.4882</v>
      </c>
      <c r="L26" s="285">
        <f>H26-K26</f>
        <v>1.2844000000000002</v>
      </c>
      <c r="M26" s="286">
        <f>I26/L26</f>
        <v>0.95048271566490183</v>
      </c>
      <c r="N26" s="287"/>
      <c r="O26" s="288"/>
    </row>
    <row r="27" spans="1:15" x14ac:dyDescent="0.3">
      <c r="F27" s="252">
        <v>2</v>
      </c>
      <c r="G27" s="289">
        <v>0.90539999999999998</v>
      </c>
      <c r="H27" s="289">
        <v>2.7639</v>
      </c>
      <c r="I27" s="290">
        <v>0.39100000000000001</v>
      </c>
      <c r="J27" s="290">
        <v>2.7210000000000001</v>
      </c>
      <c r="K27" s="290">
        <f>J27-I27</f>
        <v>2.33</v>
      </c>
      <c r="L27" s="291">
        <f>H27-K27</f>
        <v>0.43389999999999995</v>
      </c>
      <c r="M27" s="292">
        <f>I27/L27</f>
        <v>0.90112929246370144</v>
      </c>
      <c r="N27" s="253"/>
      <c r="O27" s="255"/>
    </row>
    <row r="28" spans="1:15" x14ac:dyDescent="0.3">
      <c r="F28" s="252">
        <v>3</v>
      </c>
      <c r="G28" s="289">
        <v>0.89090000000000003</v>
      </c>
      <c r="H28" s="289">
        <v>2.7519</v>
      </c>
      <c r="I28" s="290">
        <v>0.56359999999999999</v>
      </c>
      <c r="J28" s="290">
        <v>2.6945000000000001</v>
      </c>
      <c r="K28" s="290">
        <f>J28-I28</f>
        <v>2.1309</v>
      </c>
      <c r="L28" s="291">
        <f>H28-K28</f>
        <v>0.621</v>
      </c>
      <c r="M28" s="292">
        <f>I28/L28</f>
        <v>0.90756843800322062</v>
      </c>
      <c r="N28" s="253"/>
      <c r="O28" s="255"/>
    </row>
    <row r="29" spans="1:15" x14ac:dyDescent="0.3">
      <c r="F29" s="293">
        <v>4</v>
      </c>
      <c r="G29" s="294">
        <v>0.90590000000000004</v>
      </c>
      <c r="H29" s="294">
        <v>2.7545999999999999</v>
      </c>
      <c r="I29" s="295">
        <v>0.22270000000000001</v>
      </c>
      <c r="J29" s="295">
        <v>2.7374999999999998</v>
      </c>
      <c r="K29" s="295">
        <f>J29-I29</f>
        <v>2.5147999999999997</v>
      </c>
      <c r="L29" s="296">
        <f>H29-K29</f>
        <v>0.23980000000000024</v>
      </c>
      <c r="M29" s="297">
        <f>I29/L29</f>
        <v>0.92869057547956546</v>
      </c>
      <c r="N29" s="253"/>
      <c r="O29" s="255"/>
    </row>
    <row r="30" spans="1:15" ht="15.65" thickBot="1" x14ac:dyDescent="0.35">
      <c r="F30" s="252"/>
      <c r="G30" s="253"/>
      <c r="H30" s="253"/>
      <c r="I30" s="253"/>
      <c r="J30" s="253"/>
      <c r="K30" s="253"/>
      <c r="L30" s="253"/>
      <c r="M30" s="253"/>
      <c r="N30" s="253"/>
      <c r="O30" s="255"/>
    </row>
    <row r="31" spans="1:15" x14ac:dyDescent="0.3">
      <c r="F31" s="252"/>
      <c r="G31" s="253"/>
      <c r="H31" s="253"/>
      <c r="I31" s="253"/>
      <c r="J31" s="253"/>
      <c r="K31" s="253"/>
      <c r="L31" s="253"/>
      <c r="M31" s="271">
        <f>AVERAGE(M26:M29)</f>
        <v>0.92196775540284737</v>
      </c>
      <c r="N31" s="247"/>
      <c r="O31" s="255"/>
    </row>
    <row r="32" spans="1:15" ht="15.65" thickBot="1" x14ac:dyDescent="0.35">
      <c r="F32" s="252"/>
      <c r="G32" s="253"/>
      <c r="H32" s="253"/>
      <c r="I32" s="253"/>
      <c r="J32" s="253"/>
      <c r="K32" s="253"/>
      <c r="L32" s="253"/>
      <c r="M32" s="298">
        <f>STDEV(M26:M29)/SQRT(4)</f>
        <v>1.1179896942622137E-2</v>
      </c>
      <c r="N32" s="270"/>
      <c r="O32" s="255"/>
    </row>
    <row r="33" spans="6:15" x14ac:dyDescent="0.3">
      <c r="F33" s="252"/>
      <c r="G33" s="253"/>
      <c r="H33" s="253"/>
      <c r="I33" s="253"/>
      <c r="J33" s="253"/>
      <c r="K33" s="253"/>
      <c r="L33" s="253"/>
      <c r="M33" s="253"/>
      <c r="N33" s="253"/>
      <c r="O33" s="255"/>
    </row>
    <row r="34" spans="6:15" x14ac:dyDescent="0.3">
      <c r="F34" s="293"/>
      <c r="G34" s="299"/>
      <c r="H34" s="299"/>
      <c r="I34" s="299"/>
      <c r="J34" s="299"/>
      <c r="K34" s="299"/>
      <c r="L34" s="299"/>
      <c r="M34" s="299"/>
      <c r="N34" s="299"/>
      <c r="O34" s="30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opLeftCell="A28" workbookViewId="0">
      <selection activeCell="F34" sqref="F34"/>
    </sheetView>
  </sheetViews>
  <sheetFormatPr defaultColWidth="11.5546875" defaultRowHeight="15.05" x14ac:dyDescent="0.3"/>
  <cols>
    <col min="4" max="4" width="15.88671875" bestFit="1" customWidth="1"/>
    <col min="5" max="5" width="14.33203125" bestFit="1" customWidth="1"/>
    <col min="6" max="6" width="17.6640625" bestFit="1" customWidth="1"/>
    <col min="7" max="7" width="9" bestFit="1" customWidth="1"/>
  </cols>
  <sheetData>
    <row r="1" spans="1:23" ht="20.7" x14ac:dyDescent="0.35">
      <c r="A1" s="301"/>
      <c r="B1" s="331"/>
      <c r="C1" s="332"/>
      <c r="E1" s="333"/>
      <c r="F1" s="333"/>
      <c r="G1" s="333"/>
      <c r="H1" s="324"/>
      <c r="I1" s="324"/>
      <c r="J1" s="324"/>
      <c r="K1" s="325"/>
      <c r="M1" s="325"/>
      <c r="O1" s="325"/>
      <c r="Q1" s="326"/>
      <c r="R1" s="303"/>
      <c r="S1" s="303"/>
      <c r="T1" s="303"/>
      <c r="U1" s="303"/>
      <c r="V1" s="303"/>
      <c r="W1" s="303"/>
    </row>
    <row r="2" spans="1:23" ht="20.7" x14ac:dyDescent="0.3">
      <c r="A2" s="328"/>
      <c r="B2" s="50"/>
      <c r="C2" s="334"/>
      <c r="D2" s="335" t="s">
        <v>121</v>
      </c>
      <c r="E2" s="335" t="s">
        <v>122</v>
      </c>
      <c r="F2" s="335" t="s">
        <v>123</v>
      </c>
      <c r="G2" s="336" t="s">
        <v>124</v>
      </c>
      <c r="H2" s="324"/>
      <c r="I2" s="324"/>
      <c r="J2" s="324"/>
      <c r="K2" s="324"/>
      <c r="L2" s="324"/>
      <c r="M2" s="324"/>
      <c r="N2" s="325"/>
      <c r="O2" s="305"/>
      <c r="P2" s="305"/>
      <c r="Q2" s="305"/>
      <c r="R2" s="305"/>
      <c r="S2" s="305"/>
      <c r="T2" s="305"/>
    </row>
    <row r="3" spans="1:23" ht="20.7" x14ac:dyDescent="0.3">
      <c r="A3" s="328"/>
      <c r="B3" s="337">
        <v>11</v>
      </c>
      <c r="C3" s="306" t="s">
        <v>42</v>
      </c>
      <c r="D3" s="306" t="s">
        <v>125</v>
      </c>
      <c r="E3" s="306" t="s">
        <v>126</v>
      </c>
      <c r="F3" s="306" t="s">
        <v>126</v>
      </c>
      <c r="G3" s="338" t="s">
        <v>126</v>
      </c>
      <c r="H3" s="307"/>
      <c r="I3" s="307"/>
      <c r="J3" s="307"/>
      <c r="K3" s="307"/>
      <c r="L3" s="307"/>
      <c r="M3" s="307"/>
    </row>
    <row r="4" spans="1:23" ht="17.55" x14ac:dyDescent="0.3">
      <c r="A4" s="381"/>
      <c r="B4" s="339" t="s">
        <v>133</v>
      </c>
      <c r="C4" s="327">
        <v>653750</v>
      </c>
      <c r="D4" s="308">
        <v>62.751108278450509</v>
      </c>
      <c r="E4" s="308">
        <v>40.721284788612707</v>
      </c>
      <c r="F4" s="308">
        <v>18.586378531973654</v>
      </c>
      <c r="G4" s="340">
        <v>2.2904801359677074</v>
      </c>
      <c r="H4" s="309"/>
      <c r="I4" s="309"/>
      <c r="J4" s="309"/>
      <c r="K4" s="309"/>
      <c r="L4" s="309"/>
      <c r="M4" s="309"/>
    </row>
    <row r="5" spans="1:23" ht="17.55" x14ac:dyDescent="0.3">
      <c r="A5" s="381"/>
      <c r="B5" s="339" t="s">
        <v>133</v>
      </c>
      <c r="C5" s="327">
        <v>653750</v>
      </c>
      <c r="D5" s="308">
        <v>92.463252425465626</v>
      </c>
      <c r="E5" s="308">
        <v>45.609452234261028</v>
      </c>
      <c r="F5" s="308">
        <v>57.041307272856031</v>
      </c>
      <c r="G5" s="340">
        <v>26.217201331350466</v>
      </c>
      <c r="H5" s="309"/>
      <c r="I5" s="309"/>
      <c r="J5" s="309"/>
      <c r="K5" s="309"/>
      <c r="L5" s="309"/>
      <c r="M5" s="309"/>
    </row>
    <row r="6" spans="1:23" ht="20.7" x14ac:dyDescent="0.3">
      <c r="A6" s="329"/>
      <c r="B6" s="9"/>
      <c r="C6" s="304"/>
      <c r="D6" s="323"/>
      <c r="E6" s="325"/>
      <c r="F6" s="324"/>
      <c r="G6" s="341"/>
      <c r="H6" s="324"/>
      <c r="I6" s="324"/>
      <c r="J6" s="324"/>
      <c r="K6" s="324"/>
      <c r="L6" s="324"/>
      <c r="M6" s="324"/>
      <c r="N6" s="325"/>
      <c r="O6" s="303"/>
      <c r="P6" s="303"/>
      <c r="Q6" s="303"/>
      <c r="R6" s="303"/>
      <c r="S6" s="303"/>
      <c r="T6" s="303"/>
    </row>
    <row r="7" spans="1:23" ht="20.7" x14ac:dyDescent="0.35">
      <c r="A7" s="328"/>
      <c r="B7" s="342">
        <v>12</v>
      </c>
      <c r="C7" s="306" t="s">
        <v>42</v>
      </c>
      <c r="D7" s="306" t="s">
        <v>125</v>
      </c>
      <c r="E7" s="306" t="s">
        <v>126</v>
      </c>
      <c r="F7" s="306" t="s">
        <v>126</v>
      </c>
      <c r="G7" s="338" t="s">
        <v>126</v>
      </c>
      <c r="H7" s="307"/>
      <c r="I7" s="307"/>
      <c r="J7" s="307"/>
      <c r="K7" s="307"/>
      <c r="L7" s="307"/>
      <c r="M7" s="307"/>
    </row>
    <row r="8" spans="1:23" ht="17.55" x14ac:dyDescent="0.3">
      <c r="A8" s="381"/>
      <c r="B8" s="339" t="s">
        <v>133</v>
      </c>
      <c r="C8" s="327">
        <v>660000</v>
      </c>
      <c r="D8" s="308">
        <v>47.541045875420863</v>
      </c>
      <c r="E8" s="308">
        <v>31.058178398569019</v>
      </c>
      <c r="F8" s="308">
        <v>26.482623632154887</v>
      </c>
      <c r="G8" s="340">
        <v>1.9358838383838386</v>
      </c>
      <c r="H8" s="309"/>
      <c r="I8" s="309"/>
      <c r="J8" s="309"/>
      <c r="K8" s="309"/>
      <c r="L8" s="309"/>
      <c r="M8" s="309"/>
    </row>
    <row r="9" spans="1:23" ht="17.55" x14ac:dyDescent="0.3">
      <c r="A9" s="381"/>
      <c r="B9" s="339" t="s">
        <v>133</v>
      </c>
      <c r="C9" s="327">
        <v>660000</v>
      </c>
      <c r="D9" s="308">
        <v>84.170936798540964</v>
      </c>
      <c r="E9" s="308">
        <v>38.962811272446686</v>
      </c>
      <c r="F9" s="308">
        <v>46.506718223905715</v>
      </c>
      <c r="G9" s="340">
        <v>17.318058186026935</v>
      </c>
      <c r="H9" s="309"/>
      <c r="I9" s="309"/>
      <c r="J9" s="309"/>
      <c r="K9" s="309"/>
      <c r="L9" s="309"/>
      <c r="M9" s="309"/>
    </row>
    <row r="10" spans="1:23" ht="20.7" x14ac:dyDescent="0.35">
      <c r="A10" s="330"/>
      <c r="B10" s="9"/>
      <c r="C10" s="302"/>
      <c r="D10" s="323"/>
      <c r="E10" s="325"/>
      <c r="F10" s="324"/>
      <c r="G10" s="341"/>
      <c r="H10" s="324"/>
      <c r="I10" s="324"/>
      <c r="J10" s="324"/>
      <c r="K10" s="324"/>
      <c r="L10" s="324"/>
      <c r="M10" s="324"/>
      <c r="N10" s="325"/>
      <c r="O10" s="309"/>
      <c r="P10" s="309"/>
      <c r="Q10" s="309"/>
      <c r="R10" s="309"/>
      <c r="S10" s="309"/>
      <c r="T10" s="309"/>
    </row>
    <row r="11" spans="1:23" ht="20.7" x14ac:dyDescent="0.35">
      <c r="A11" s="328"/>
      <c r="B11" s="342">
        <v>13</v>
      </c>
      <c r="C11" s="306" t="s">
        <v>42</v>
      </c>
      <c r="D11" s="306" t="s">
        <v>125</v>
      </c>
      <c r="E11" s="306" t="s">
        <v>126</v>
      </c>
      <c r="F11" s="306" t="s">
        <v>126</v>
      </c>
      <c r="G11" s="338" t="s">
        <v>126</v>
      </c>
      <c r="H11" s="307"/>
      <c r="I11" s="307"/>
      <c r="J11" s="307"/>
      <c r="K11" s="307"/>
      <c r="L11" s="307"/>
      <c r="M11" s="307"/>
    </row>
    <row r="12" spans="1:23" ht="17.55" x14ac:dyDescent="0.3">
      <c r="A12" s="381"/>
      <c r="B12" s="339" t="s">
        <v>133</v>
      </c>
      <c r="C12" s="327">
        <v>625000</v>
      </c>
      <c r="D12" s="308">
        <v>35.400750000000002</v>
      </c>
      <c r="E12" s="308">
        <v>32.482818333333341</v>
      </c>
      <c r="F12" s="308">
        <v>19.935402499999999</v>
      </c>
      <c r="G12" s="340">
        <v>4.6342418055555559</v>
      </c>
      <c r="H12" s="309"/>
      <c r="I12" s="309"/>
      <c r="J12" s="309"/>
      <c r="K12" s="309"/>
      <c r="L12" s="309"/>
      <c r="M12" s="309"/>
    </row>
    <row r="13" spans="1:23" ht="17.55" x14ac:dyDescent="0.3">
      <c r="A13" s="381"/>
      <c r="B13" s="339" t="s">
        <v>133</v>
      </c>
      <c r="C13" s="327">
        <v>625000</v>
      </c>
      <c r="D13" s="308">
        <v>65.777778703703703</v>
      </c>
      <c r="E13" s="308">
        <v>35.006462037037032</v>
      </c>
      <c r="F13" s="308">
        <v>45.976551851851852</v>
      </c>
      <c r="G13" s="340">
        <v>27.425549999999998</v>
      </c>
      <c r="H13" s="309"/>
      <c r="I13" s="309"/>
      <c r="J13" s="309"/>
      <c r="K13" s="309"/>
      <c r="L13" s="309"/>
      <c r="M13" s="309"/>
    </row>
    <row r="14" spans="1:23" ht="20.7" x14ac:dyDescent="0.35">
      <c r="A14" s="330"/>
      <c r="B14" s="9"/>
      <c r="C14" s="302"/>
      <c r="D14" s="323"/>
      <c r="E14" s="325"/>
      <c r="F14" s="324"/>
      <c r="G14" s="341"/>
      <c r="H14" s="324"/>
      <c r="I14" s="324"/>
      <c r="J14" s="324"/>
      <c r="K14" s="324"/>
      <c r="L14" s="324"/>
      <c r="M14" s="324"/>
      <c r="N14" s="325"/>
      <c r="O14" s="309"/>
      <c r="P14" s="309"/>
      <c r="Q14" s="309"/>
      <c r="R14" s="309"/>
      <c r="S14" s="309"/>
      <c r="T14" s="309"/>
    </row>
    <row r="15" spans="1:23" ht="20.7" x14ac:dyDescent="0.35">
      <c r="A15" s="328"/>
      <c r="B15" s="342">
        <v>14</v>
      </c>
      <c r="C15" s="306" t="s">
        <v>42</v>
      </c>
      <c r="D15" s="306" t="s">
        <v>125</v>
      </c>
      <c r="E15" s="306" t="s">
        <v>126</v>
      </c>
      <c r="F15" s="306" t="s">
        <v>126</v>
      </c>
      <c r="G15" s="338" t="s">
        <v>126</v>
      </c>
      <c r="H15" s="307"/>
      <c r="I15" s="307"/>
      <c r="J15" s="307"/>
      <c r="K15" s="307"/>
      <c r="L15" s="307"/>
      <c r="M15" s="307"/>
    </row>
    <row r="16" spans="1:23" ht="17.55" x14ac:dyDescent="0.3">
      <c r="A16" s="381"/>
      <c r="B16" s="339" t="s">
        <v>133</v>
      </c>
      <c r="C16" s="327">
        <v>900000</v>
      </c>
      <c r="D16" s="308">
        <v>38.822608024691341</v>
      </c>
      <c r="E16" s="308">
        <v>12.046832175925928</v>
      </c>
      <c r="F16" s="308">
        <v>23.536098765432101</v>
      </c>
      <c r="G16" s="340">
        <v>3.2603556134259257</v>
      </c>
      <c r="H16" s="309"/>
      <c r="I16" s="309"/>
      <c r="J16" s="309"/>
      <c r="K16" s="309"/>
      <c r="L16" s="309"/>
      <c r="M16" s="309"/>
    </row>
    <row r="17" spans="1:23" ht="17.55" x14ac:dyDescent="0.3">
      <c r="A17" s="381"/>
      <c r="B17" s="343" t="s">
        <v>133</v>
      </c>
      <c r="C17" s="344">
        <v>900000</v>
      </c>
      <c r="D17" s="345">
        <v>52.711821630658449</v>
      </c>
      <c r="E17" s="345">
        <v>20.864350565843623</v>
      </c>
      <c r="F17" s="345">
        <v>39.299823816872426</v>
      </c>
      <c r="G17" s="346">
        <v>13.861289223251028</v>
      </c>
      <c r="H17" s="309"/>
      <c r="I17" s="309"/>
      <c r="J17" s="309"/>
      <c r="K17" s="309"/>
      <c r="L17" s="309"/>
      <c r="M17" s="309"/>
    </row>
    <row r="18" spans="1:23" ht="17.55" x14ac:dyDescent="0.3">
      <c r="A18" s="309"/>
      <c r="B18" s="309"/>
      <c r="C18" s="310"/>
      <c r="D18" s="309"/>
      <c r="E18" s="309"/>
      <c r="F18" s="309"/>
      <c r="G18" s="309"/>
      <c r="H18" s="309"/>
      <c r="I18" s="309"/>
      <c r="J18" s="310"/>
      <c r="K18" s="311"/>
      <c r="L18" s="310"/>
      <c r="M18" s="312"/>
      <c r="N18" s="309"/>
      <c r="O18" s="309"/>
      <c r="P18" s="309"/>
      <c r="Q18" s="309"/>
      <c r="R18" s="309"/>
      <c r="S18" s="309"/>
      <c r="T18" s="309"/>
      <c r="U18" s="309"/>
      <c r="V18" s="309"/>
      <c r="W18" s="309"/>
    </row>
    <row r="19" spans="1:23" ht="17.55" x14ac:dyDescent="0.3">
      <c r="A19" s="309"/>
      <c r="B19" s="309"/>
      <c r="C19" s="313"/>
      <c r="D19" s="314"/>
      <c r="E19" s="309"/>
      <c r="F19" s="309"/>
      <c r="G19" s="309"/>
      <c r="H19" s="309"/>
      <c r="I19" s="309"/>
      <c r="J19" s="310"/>
      <c r="K19" s="311"/>
      <c r="L19" s="310"/>
      <c r="M19" s="312"/>
      <c r="N19" s="309"/>
      <c r="O19" s="309"/>
      <c r="P19" s="309"/>
      <c r="Q19" s="309"/>
      <c r="R19" s="309"/>
      <c r="S19" s="309"/>
      <c r="T19" s="309"/>
      <c r="U19" s="309"/>
      <c r="V19" s="309"/>
      <c r="W19" s="309"/>
    </row>
    <row r="20" spans="1:23" x14ac:dyDescent="0.3">
      <c r="A20" s="315"/>
      <c r="B20" s="368" t="s">
        <v>127</v>
      </c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70"/>
      <c r="R20" s="347"/>
      <c r="S20" s="347"/>
      <c r="T20" s="347"/>
      <c r="U20" s="347"/>
      <c r="V20" s="347"/>
      <c r="W20" s="347"/>
    </row>
    <row r="21" spans="1:23" x14ac:dyDescent="0.3">
      <c r="A21" s="315"/>
      <c r="B21" s="372" t="s">
        <v>121</v>
      </c>
      <c r="C21" s="373"/>
      <c r="D21" s="373"/>
      <c r="E21" s="374"/>
      <c r="F21" s="365" t="s">
        <v>122</v>
      </c>
      <c r="G21" s="366"/>
      <c r="H21" s="366"/>
      <c r="I21" s="367"/>
      <c r="J21" s="365" t="s">
        <v>123</v>
      </c>
      <c r="K21" s="366"/>
      <c r="L21" s="366"/>
      <c r="M21" s="367"/>
      <c r="N21" s="365" t="s">
        <v>124</v>
      </c>
      <c r="O21" s="366"/>
      <c r="P21" s="366"/>
      <c r="Q21" s="367"/>
    </row>
    <row r="22" spans="1:23" x14ac:dyDescent="0.3">
      <c r="A22" s="315"/>
      <c r="B22" s="379" t="s">
        <v>130</v>
      </c>
      <c r="C22" s="380"/>
      <c r="D22" s="379" t="s">
        <v>131</v>
      </c>
      <c r="E22" s="380"/>
      <c r="F22" s="377" t="s">
        <v>128</v>
      </c>
      <c r="G22" s="378"/>
      <c r="H22" s="375" t="s">
        <v>129</v>
      </c>
      <c r="I22" s="376"/>
      <c r="J22" s="377" t="s">
        <v>128</v>
      </c>
      <c r="K22" s="378"/>
      <c r="L22" s="375" t="s">
        <v>129</v>
      </c>
      <c r="M22" s="376"/>
      <c r="N22" s="377" t="s">
        <v>128</v>
      </c>
      <c r="O22" s="378"/>
      <c r="P22" s="375" t="s">
        <v>129</v>
      </c>
      <c r="Q22" s="376"/>
    </row>
    <row r="23" spans="1:23" x14ac:dyDescent="0.3">
      <c r="A23" s="309"/>
      <c r="B23" s="318" t="s">
        <v>125</v>
      </c>
      <c r="C23" s="316" t="s">
        <v>113</v>
      </c>
      <c r="D23" s="318" t="s">
        <v>125</v>
      </c>
      <c r="E23" s="316" t="s">
        <v>113</v>
      </c>
      <c r="F23" s="317" t="s">
        <v>132</v>
      </c>
      <c r="G23" s="316" t="s">
        <v>113</v>
      </c>
      <c r="H23" s="317" t="s">
        <v>132</v>
      </c>
      <c r="I23" s="316" t="s">
        <v>113</v>
      </c>
      <c r="J23" s="317" t="s">
        <v>132</v>
      </c>
      <c r="K23" s="316" t="s">
        <v>113</v>
      </c>
      <c r="L23" s="317" t="s">
        <v>132</v>
      </c>
      <c r="M23" s="316" t="s">
        <v>113</v>
      </c>
      <c r="N23" s="317" t="s">
        <v>132</v>
      </c>
      <c r="O23" s="316" t="s">
        <v>113</v>
      </c>
      <c r="P23" s="317" t="s">
        <v>132</v>
      </c>
      <c r="Q23" s="316" t="s">
        <v>113</v>
      </c>
    </row>
    <row r="24" spans="1:23" x14ac:dyDescent="0.3">
      <c r="A24" s="371"/>
      <c r="B24" s="319">
        <f>AVERAGE(D4,D8,D12,D16)</f>
        <v>46.128878044640679</v>
      </c>
      <c r="C24" s="321">
        <f>STDEV(D4,D8,D12,D16)/SQRT(4)</f>
        <v>6.101687395539912</v>
      </c>
      <c r="D24" s="319">
        <f>AVERAGE(D5,D9,D13,D17)</f>
        <v>73.780947389592185</v>
      </c>
      <c r="E24" s="321">
        <f>STDEV(D5,D9,D13,D17)/SQRT(4)</f>
        <v>8.9672513934131555</v>
      </c>
      <c r="F24" s="319">
        <f>AVERAGE(E4,E8,E12,E16)</f>
        <v>29.077278424110251</v>
      </c>
      <c r="G24" s="320">
        <f>STDEV(E4,E8,E12,E16)/SQRT(4)</f>
        <v>6.0631444702878836</v>
      </c>
      <c r="H24" s="322">
        <f>AVERAGE(E5,E9,E13,E17)</f>
        <v>35.110769027397097</v>
      </c>
      <c r="I24" s="320">
        <f>STDEV(E5,E9,E13,E17)/SQRT(4)</f>
        <v>5.2283832544556104</v>
      </c>
      <c r="J24" s="319">
        <f>AVERAGE(F4,F8,F12,F16)</f>
        <v>22.135125857390161</v>
      </c>
      <c r="K24" s="320">
        <f>STDEV(F4,F8,F12,F16)/SQRT(4)</f>
        <v>1.7864268904564313</v>
      </c>
      <c r="L24" s="322">
        <f>AVERAGE(F5,F9,F13,F17)</f>
        <v>47.206100291371506</v>
      </c>
      <c r="M24" s="320">
        <f>STDEV(F5,F9,F13,F17)/SQRT(4)</f>
        <v>3.6656221470722192</v>
      </c>
      <c r="N24" s="319">
        <f>AVERAGE(G4,G8,G12,G16)</f>
        <v>3.030240348333257</v>
      </c>
      <c r="O24" s="320">
        <f>STDEV(G4,G8,G12,G16)/SQRT(4)</f>
        <v>0.60350607927535427</v>
      </c>
      <c r="P24" s="322">
        <f>AVERAGE(G5,G9,G13,G17)</f>
        <v>21.205524685157108</v>
      </c>
      <c r="Q24" s="320">
        <f>STDEV(G5,G9,G13,G17)/SQRT(4)</f>
        <v>3.327358912925086</v>
      </c>
    </row>
    <row r="25" spans="1:23" x14ac:dyDescent="0.3">
      <c r="A25" s="309"/>
    </row>
    <row r="26" spans="1:23" x14ac:dyDescent="0.3">
      <c r="A26" s="371"/>
    </row>
  </sheetData>
  <mergeCells count="23">
    <mergeCell ref="A16"/>
    <mergeCell ref="A17"/>
    <mergeCell ref="A12"/>
    <mergeCell ref="A13"/>
    <mergeCell ref="A4"/>
    <mergeCell ref="A5"/>
    <mergeCell ref="A8"/>
    <mergeCell ref="A9"/>
    <mergeCell ref="N21:Q21"/>
    <mergeCell ref="B20:Q20"/>
    <mergeCell ref="A26"/>
    <mergeCell ref="B21:E21"/>
    <mergeCell ref="F21:I21"/>
    <mergeCell ref="J21:M21"/>
    <mergeCell ref="H22:I22"/>
    <mergeCell ref="J22:K22"/>
    <mergeCell ref="L22:M22"/>
    <mergeCell ref="N22:O22"/>
    <mergeCell ref="P22:Q22"/>
    <mergeCell ref="A24"/>
    <mergeCell ref="B22:C22"/>
    <mergeCell ref="D22:E22"/>
    <mergeCell ref="F22:G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9</vt:i4>
      </vt:variant>
    </vt:vector>
  </HeadingPairs>
  <TitlesOfParts>
    <vt:vector size="9" baseType="lpstr">
      <vt:lpstr>RATAS</vt:lpstr>
      <vt:lpstr>TAMAÑO ADIPOCITOS</vt:lpstr>
      <vt:lpstr>CUENTA ADIPOCITOS</vt:lpstr>
      <vt:lpstr>% RBC</vt:lpstr>
      <vt:lpstr>ESTROMA</vt:lpstr>
      <vt:lpstr>CONTENIDO LIPIDOS</vt:lpstr>
      <vt:lpstr>% AGUA</vt:lpstr>
      <vt:lpstr>DENSIDAD</vt:lpstr>
      <vt:lpstr>lac glic gluc nef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</dc:creator>
  <cp:lastModifiedBy>malemany</cp:lastModifiedBy>
  <dcterms:created xsi:type="dcterms:W3CDTF">2016-09-23T16:29:45Z</dcterms:created>
  <dcterms:modified xsi:type="dcterms:W3CDTF">2016-09-28T08:25:25Z</dcterms:modified>
</cp:coreProperties>
</file>