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780"/>
  </bookViews>
  <sheets>
    <sheet name="Glucosa C K" sheetId="8" r:id="rId1"/>
    <sheet name="Glucosa HP HL" sheetId="9" r:id="rId2"/>
    <sheet name="Lactat C i K" sheetId="10" r:id="rId3"/>
    <sheet name="Lactat HP i HL" sheetId="11" r:id="rId4"/>
    <sheet name="Colesterol C K" sheetId="12" r:id="rId5"/>
    <sheet name="Colesterol HP HL" sheetId="13" r:id="rId6"/>
    <sheet name="TAG C i K" sheetId="14" r:id="rId7"/>
    <sheet name="TAG HP i HL" sheetId="15" r:id="rId8"/>
    <sheet name="NEFA C i K" sheetId="4" r:id="rId9"/>
    <sheet name="NEFA HP i HL" sheetId="5" r:id="rId10"/>
    <sheet name="Hidroxibutirat" sheetId="6" r:id="rId11"/>
    <sheet name="Acetoacetat" sheetId="7" r:id="rId12"/>
    <sheet name="Proteina CKHPHL" sheetId="16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MethodPointer" localSheetId="4">22858672</definedName>
    <definedName name="MethodPointer" localSheetId="5">22858672</definedName>
    <definedName name="MethodPointer" localSheetId="2">22934112</definedName>
    <definedName name="MethodPointer" localSheetId="3">22934112</definedName>
    <definedName name="MethodPointer" localSheetId="6">22926296</definedName>
    <definedName name="MethodPointer" localSheetId="7">22926296</definedName>
    <definedName name="MethodPointer">22934384</definedName>
  </definedNames>
  <calcPr calcId="125725"/>
</workbook>
</file>

<file path=xl/calcChain.xml><?xml version="1.0" encoding="utf-8"?>
<calcChain xmlns="http://schemas.openxmlformats.org/spreadsheetml/2006/main">
  <c r="G5" i="16"/>
  <c r="G6" s="1"/>
  <c r="F5"/>
  <c r="F6" s="1"/>
  <c r="E5"/>
  <c r="E6" s="1"/>
  <c r="D5"/>
  <c r="D6" s="1"/>
  <c r="C5"/>
  <c r="M33" s="1"/>
  <c r="M34" s="1"/>
  <c r="M35" s="1"/>
  <c r="C6" l="1"/>
  <c r="D12"/>
  <c r="D13" s="1"/>
  <c r="D14" s="1"/>
  <c r="F12"/>
  <c r="F13" s="1"/>
  <c r="F14" s="1"/>
  <c r="H12"/>
  <c r="H13" s="1"/>
  <c r="H14" s="1"/>
  <c r="J12"/>
  <c r="J13" s="1"/>
  <c r="J14" s="1"/>
  <c r="L12"/>
  <c r="L13" s="1"/>
  <c r="L14" s="1"/>
  <c r="N12"/>
  <c r="N13" s="1"/>
  <c r="N14" s="1"/>
  <c r="D19"/>
  <c r="D20" s="1"/>
  <c r="D21" s="1"/>
  <c r="F19"/>
  <c r="F20" s="1"/>
  <c r="F21" s="1"/>
  <c r="H19"/>
  <c r="H20" s="1"/>
  <c r="H21" s="1"/>
  <c r="J19"/>
  <c r="J20" s="1"/>
  <c r="J21" s="1"/>
  <c r="L19"/>
  <c r="L20" s="1"/>
  <c r="L21" s="1"/>
  <c r="N19"/>
  <c r="N20" s="1"/>
  <c r="N21" s="1"/>
  <c r="D26"/>
  <c r="D27" s="1"/>
  <c r="D28" s="1"/>
  <c r="F26"/>
  <c r="F27" s="1"/>
  <c r="F28" s="1"/>
  <c r="H26"/>
  <c r="H27" s="1"/>
  <c r="H28" s="1"/>
  <c r="J26"/>
  <c r="J27" s="1"/>
  <c r="J28" s="1"/>
  <c r="L26"/>
  <c r="L27" s="1"/>
  <c r="L28" s="1"/>
  <c r="N26"/>
  <c r="N27" s="1"/>
  <c r="N28" s="1"/>
  <c r="D33"/>
  <c r="D34" s="1"/>
  <c r="D35" s="1"/>
  <c r="F33"/>
  <c r="F34" s="1"/>
  <c r="F35" s="1"/>
  <c r="H33"/>
  <c r="H34" s="1"/>
  <c r="H35" s="1"/>
  <c r="J33"/>
  <c r="J34" s="1"/>
  <c r="J35" s="1"/>
  <c r="L33"/>
  <c r="L34" s="1"/>
  <c r="L35" s="1"/>
  <c r="N33"/>
  <c r="N34" s="1"/>
  <c r="N35" s="1"/>
  <c r="C12"/>
  <c r="C13" s="1"/>
  <c r="C14" s="1"/>
  <c r="E12"/>
  <c r="E13" s="1"/>
  <c r="E14" s="1"/>
  <c r="G12"/>
  <c r="G13" s="1"/>
  <c r="G14" s="1"/>
  <c r="I12"/>
  <c r="I13" s="1"/>
  <c r="I14" s="1"/>
  <c r="K12"/>
  <c r="K13" s="1"/>
  <c r="K14" s="1"/>
  <c r="M12"/>
  <c r="M13" s="1"/>
  <c r="M14" s="1"/>
  <c r="C19"/>
  <c r="C20" s="1"/>
  <c r="C21" s="1"/>
  <c r="E19"/>
  <c r="E20" s="1"/>
  <c r="E21" s="1"/>
  <c r="G19"/>
  <c r="G20" s="1"/>
  <c r="G21" s="1"/>
  <c r="I19"/>
  <c r="I20" s="1"/>
  <c r="I21" s="1"/>
  <c r="K19"/>
  <c r="K20" s="1"/>
  <c r="K21" s="1"/>
  <c r="M19"/>
  <c r="M20" s="1"/>
  <c r="M21" s="1"/>
  <c r="C26"/>
  <c r="C27" s="1"/>
  <c r="C28" s="1"/>
  <c r="E26"/>
  <c r="E27" s="1"/>
  <c r="E28" s="1"/>
  <c r="G26"/>
  <c r="G27" s="1"/>
  <c r="G28" s="1"/>
  <c r="I26"/>
  <c r="I27" s="1"/>
  <c r="I28" s="1"/>
  <c r="K26"/>
  <c r="K27" s="1"/>
  <c r="K28" s="1"/>
  <c r="M26"/>
  <c r="M27" s="1"/>
  <c r="M28" s="1"/>
  <c r="C33"/>
  <c r="C34" s="1"/>
  <c r="C35" s="1"/>
  <c r="E33"/>
  <c r="E34" s="1"/>
  <c r="E35" s="1"/>
  <c r="G33"/>
  <c r="G34" s="1"/>
  <c r="G35" s="1"/>
  <c r="I33"/>
  <c r="I34" s="1"/>
  <c r="I35" s="1"/>
  <c r="K33"/>
  <c r="K34" s="1"/>
  <c r="K35" s="1"/>
  <c r="D41" i="15"/>
  <c r="E41" s="1"/>
  <c r="F41" s="1"/>
  <c r="D40"/>
  <c r="D39"/>
  <c r="E39" s="1"/>
  <c r="F39" s="1"/>
  <c r="D38"/>
  <c r="D37"/>
  <c r="E37" s="1"/>
  <c r="F37" s="1"/>
  <c r="D36"/>
  <c r="E36" s="1"/>
  <c r="F36" s="1"/>
  <c r="D33"/>
  <c r="E33" s="1"/>
  <c r="F33" s="1"/>
  <c r="D32"/>
  <c r="E32" s="1"/>
  <c r="F32" s="1"/>
  <c r="D31"/>
  <c r="E31" s="1"/>
  <c r="F31" s="1"/>
  <c r="D30"/>
  <c r="E30" s="1"/>
  <c r="F30" s="1"/>
  <c r="D29"/>
  <c r="E29" s="1"/>
  <c r="F29" s="1"/>
  <c r="D28"/>
  <c r="E28" s="1"/>
  <c r="F28" s="1"/>
  <c r="D25"/>
  <c r="E25" s="1"/>
  <c r="F25" s="1"/>
  <c r="D24"/>
  <c r="E24" s="1"/>
  <c r="F24" s="1"/>
  <c r="D23"/>
  <c r="E23" s="1"/>
  <c r="F23" s="1"/>
  <c r="D22"/>
  <c r="E22" s="1"/>
  <c r="F22" s="1"/>
  <c r="D21"/>
  <c r="E21" s="1"/>
  <c r="F21" s="1"/>
  <c r="D20"/>
  <c r="E20" s="1"/>
  <c r="F20" s="1"/>
  <c r="D17"/>
  <c r="E17" s="1"/>
  <c r="F17" s="1"/>
  <c r="D16"/>
  <c r="E16" s="1"/>
  <c r="F16" s="1"/>
  <c r="D15"/>
  <c r="E15" s="1"/>
  <c r="F15" s="1"/>
  <c r="D14"/>
  <c r="E14" s="1"/>
  <c r="F14" s="1"/>
  <c r="D13"/>
  <c r="E13" s="1"/>
  <c r="F13" s="1"/>
  <c r="D12"/>
  <c r="E12" s="1"/>
  <c r="F12" s="1"/>
  <c r="D9"/>
  <c r="E9" s="1"/>
  <c r="D8"/>
  <c r="E8" s="1"/>
  <c r="D7"/>
  <c r="E7" s="1"/>
  <c r="D6"/>
  <c r="E6" s="1"/>
  <c r="D5"/>
  <c r="E40" s="1"/>
  <c r="F40" s="1"/>
  <c r="D40" i="14"/>
  <c r="D39"/>
  <c r="E39" s="1"/>
  <c r="F39" s="1"/>
  <c r="D38"/>
  <c r="D37"/>
  <c r="E37" s="1"/>
  <c r="F37" s="1"/>
  <c r="D36"/>
  <c r="D35"/>
  <c r="E35" s="1"/>
  <c r="F35" s="1"/>
  <c r="D32"/>
  <c r="D31"/>
  <c r="E31" s="1"/>
  <c r="F31" s="1"/>
  <c r="D30"/>
  <c r="D29"/>
  <c r="E29" s="1"/>
  <c r="F29" s="1"/>
  <c r="D28"/>
  <c r="D27"/>
  <c r="E27" s="1"/>
  <c r="F27" s="1"/>
  <c r="D24"/>
  <c r="D23"/>
  <c r="E23" s="1"/>
  <c r="F23" s="1"/>
  <c r="D22"/>
  <c r="D21"/>
  <c r="E21" s="1"/>
  <c r="F21" s="1"/>
  <c r="D20"/>
  <c r="D19"/>
  <c r="E19" s="1"/>
  <c r="F19" s="1"/>
  <c r="D16"/>
  <c r="D15"/>
  <c r="E15" s="1"/>
  <c r="F15" s="1"/>
  <c r="D14"/>
  <c r="D13"/>
  <c r="E13" s="1"/>
  <c r="F13" s="1"/>
  <c r="D12"/>
  <c r="D11"/>
  <c r="E11" s="1"/>
  <c r="F11" s="1"/>
  <c r="D8"/>
  <c r="E8" s="1"/>
  <c r="D7"/>
  <c r="E7" s="1"/>
  <c r="D6"/>
  <c r="E6" s="1"/>
  <c r="D5"/>
  <c r="E5" s="1"/>
  <c r="D4"/>
  <c r="E40" s="1"/>
  <c r="F40" s="1"/>
  <c r="E43" i="13"/>
  <c r="F43" s="1"/>
  <c r="G43" s="1"/>
  <c r="E42"/>
  <c r="E41"/>
  <c r="F41" s="1"/>
  <c r="G41" s="1"/>
  <c r="E40"/>
  <c r="E39"/>
  <c r="F39" s="1"/>
  <c r="G39" s="1"/>
  <c r="E38"/>
  <c r="F38" s="1"/>
  <c r="G38" s="1"/>
  <c r="E35"/>
  <c r="F35" s="1"/>
  <c r="G35" s="1"/>
  <c r="E34"/>
  <c r="F34" s="1"/>
  <c r="G34" s="1"/>
  <c r="E33"/>
  <c r="F33" s="1"/>
  <c r="G33" s="1"/>
  <c r="E32"/>
  <c r="F32" s="1"/>
  <c r="G32" s="1"/>
  <c r="E31"/>
  <c r="F31" s="1"/>
  <c r="G31" s="1"/>
  <c r="E30"/>
  <c r="F30" s="1"/>
  <c r="G30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G13" s="1"/>
  <c r="E10"/>
  <c r="F10" s="1"/>
  <c r="E9"/>
  <c r="F9" s="1"/>
  <c r="E8"/>
  <c r="F8" s="1"/>
  <c r="E7"/>
  <c r="F7" s="1"/>
  <c r="E6"/>
  <c r="F42" s="1"/>
  <c r="G42" s="1"/>
  <c r="D44" i="12"/>
  <c r="D43"/>
  <c r="E43" s="1"/>
  <c r="F43" s="1"/>
  <c r="D42"/>
  <c r="D41"/>
  <c r="E41" s="1"/>
  <c r="F41" s="1"/>
  <c r="D40"/>
  <c r="D39"/>
  <c r="E39" s="1"/>
  <c r="F39" s="1"/>
  <c r="D36"/>
  <c r="D35"/>
  <c r="E35" s="1"/>
  <c r="F35" s="1"/>
  <c r="D34"/>
  <c r="D33"/>
  <c r="E33" s="1"/>
  <c r="F33" s="1"/>
  <c r="D32"/>
  <c r="D31"/>
  <c r="E31" s="1"/>
  <c r="F31" s="1"/>
  <c r="D26"/>
  <c r="D25"/>
  <c r="E25" s="1"/>
  <c r="F25" s="1"/>
  <c r="D24"/>
  <c r="D23"/>
  <c r="E23" s="1"/>
  <c r="F23" s="1"/>
  <c r="D22"/>
  <c r="D21"/>
  <c r="E21" s="1"/>
  <c r="F21" s="1"/>
  <c r="D18"/>
  <c r="D17"/>
  <c r="E17" s="1"/>
  <c r="F17" s="1"/>
  <c r="D16"/>
  <c r="D15"/>
  <c r="E15" s="1"/>
  <c r="F15" s="1"/>
  <c r="D14"/>
  <c r="D13"/>
  <c r="E13" s="1"/>
  <c r="F13" s="1"/>
  <c r="D10"/>
  <c r="E10" s="1"/>
  <c r="D9"/>
  <c r="E9" s="1"/>
  <c r="D8"/>
  <c r="E8" s="1"/>
  <c r="D7"/>
  <c r="E7" s="1"/>
  <c r="D6"/>
  <c r="E44" s="1"/>
  <c r="F44" s="1"/>
  <c r="D39" i="11"/>
  <c r="E39" s="1"/>
  <c r="F39" s="1"/>
  <c r="G39" s="1"/>
  <c r="D38"/>
  <c r="E38" s="1"/>
  <c r="F38" s="1"/>
  <c r="G38" s="1"/>
  <c r="D37"/>
  <c r="E37" s="1"/>
  <c r="F37" s="1"/>
  <c r="G37" s="1"/>
  <c r="D36"/>
  <c r="E36" s="1"/>
  <c r="F36" s="1"/>
  <c r="G36" s="1"/>
  <c r="D35"/>
  <c r="E35" s="1"/>
  <c r="F35" s="1"/>
  <c r="G35" s="1"/>
  <c r="D34"/>
  <c r="E34" s="1"/>
  <c r="F34" s="1"/>
  <c r="G34" s="1"/>
  <c r="D31"/>
  <c r="E31" s="1"/>
  <c r="F31" s="1"/>
  <c r="G31" s="1"/>
  <c r="D30"/>
  <c r="E30" s="1"/>
  <c r="F30" s="1"/>
  <c r="G30" s="1"/>
  <c r="D29"/>
  <c r="E29" s="1"/>
  <c r="F29" s="1"/>
  <c r="G29" s="1"/>
  <c r="D28"/>
  <c r="E28" s="1"/>
  <c r="F28" s="1"/>
  <c r="G28" s="1"/>
  <c r="D27"/>
  <c r="E27" s="1"/>
  <c r="F27" s="1"/>
  <c r="G27" s="1"/>
  <c r="D26"/>
  <c r="E26" s="1"/>
  <c r="F26" s="1"/>
  <c r="G26" s="1"/>
  <c r="D23"/>
  <c r="E23" s="1"/>
  <c r="F23" s="1"/>
  <c r="G23" s="1"/>
  <c r="D22"/>
  <c r="E22" s="1"/>
  <c r="F22" s="1"/>
  <c r="G22" s="1"/>
  <c r="D21"/>
  <c r="E21" s="1"/>
  <c r="F21" s="1"/>
  <c r="G21" s="1"/>
  <c r="D20"/>
  <c r="E20" s="1"/>
  <c r="F20" s="1"/>
  <c r="G20" s="1"/>
  <c r="D19"/>
  <c r="E19" s="1"/>
  <c r="F19" s="1"/>
  <c r="G19" s="1"/>
  <c r="D18"/>
  <c r="E18" s="1"/>
  <c r="F18" s="1"/>
  <c r="G18" s="1"/>
  <c r="D15"/>
  <c r="E15" s="1"/>
  <c r="F15" s="1"/>
  <c r="G15" s="1"/>
  <c r="D14"/>
  <c r="E14" s="1"/>
  <c r="F14" s="1"/>
  <c r="G14" s="1"/>
  <c r="D13"/>
  <c r="E13" s="1"/>
  <c r="F13" s="1"/>
  <c r="G13" s="1"/>
  <c r="D12"/>
  <c r="E12" s="1"/>
  <c r="F12" s="1"/>
  <c r="G12" s="1"/>
  <c r="D11"/>
  <c r="E11" s="1"/>
  <c r="F11" s="1"/>
  <c r="G11" s="1"/>
  <c r="D10"/>
  <c r="E10" s="1"/>
  <c r="F10" s="1"/>
  <c r="G10" s="1"/>
  <c r="D7"/>
  <c r="E7" s="1"/>
  <c r="D6"/>
  <c r="E6" s="1"/>
  <c r="D5"/>
  <c r="E5" s="1"/>
  <c r="D4"/>
  <c r="E4" s="1"/>
  <c r="D3"/>
  <c r="E3" s="1"/>
  <c r="D39" i="10"/>
  <c r="E39" s="1"/>
  <c r="F39" s="1"/>
  <c r="G39" s="1"/>
  <c r="D38"/>
  <c r="E38" s="1"/>
  <c r="F38" s="1"/>
  <c r="G38" s="1"/>
  <c r="D37"/>
  <c r="E37" s="1"/>
  <c r="F37" s="1"/>
  <c r="G37" s="1"/>
  <c r="D36"/>
  <c r="E36" s="1"/>
  <c r="F36" s="1"/>
  <c r="G36" s="1"/>
  <c r="D35"/>
  <c r="E35" s="1"/>
  <c r="F35" s="1"/>
  <c r="G35" s="1"/>
  <c r="D34"/>
  <c r="E34" s="1"/>
  <c r="F34" s="1"/>
  <c r="G34" s="1"/>
  <c r="D31"/>
  <c r="E31" s="1"/>
  <c r="F31" s="1"/>
  <c r="G31" s="1"/>
  <c r="D30"/>
  <c r="E30" s="1"/>
  <c r="F30" s="1"/>
  <c r="G30" s="1"/>
  <c r="D29"/>
  <c r="D28"/>
  <c r="E28" s="1"/>
  <c r="F28" s="1"/>
  <c r="D27"/>
  <c r="E27" s="1"/>
  <c r="F27" s="1"/>
  <c r="G27" s="1"/>
  <c r="D26"/>
  <c r="E26" s="1"/>
  <c r="F26" s="1"/>
  <c r="G26" s="1"/>
  <c r="D23"/>
  <c r="E23" s="1"/>
  <c r="F23" s="1"/>
  <c r="G23" s="1"/>
  <c r="D22"/>
  <c r="E22" s="1"/>
  <c r="F22" s="1"/>
  <c r="G22" s="1"/>
  <c r="D21"/>
  <c r="E21" s="1"/>
  <c r="F21" s="1"/>
  <c r="G21" s="1"/>
  <c r="D20"/>
  <c r="E20" s="1"/>
  <c r="F20" s="1"/>
  <c r="G20" s="1"/>
  <c r="D19"/>
  <c r="E19" s="1"/>
  <c r="F19" s="1"/>
  <c r="G19" s="1"/>
  <c r="D18"/>
  <c r="E18" s="1"/>
  <c r="F18" s="1"/>
  <c r="G18" s="1"/>
  <c r="D15"/>
  <c r="E15" s="1"/>
  <c r="F15" s="1"/>
  <c r="G15" s="1"/>
  <c r="D14"/>
  <c r="E14" s="1"/>
  <c r="F14" s="1"/>
  <c r="G14" s="1"/>
  <c r="D13"/>
  <c r="E13" s="1"/>
  <c r="F13" s="1"/>
  <c r="G13" s="1"/>
  <c r="D12"/>
  <c r="E12" s="1"/>
  <c r="F12" s="1"/>
  <c r="G12" s="1"/>
  <c r="D11"/>
  <c r="E11" s="1"/>
  <c r="F11" s="1"/>
  <c r="G11" s="1"/>
  <c r="D10"/>
  <c r="E10" s="1"/>
  <c r="F10" s="1"/>
  <c r="G10" s="1"/>
  <c r="D7"/>
  <c r="E7" s="1"/>
  <c r="D6"/>
  <c r="E6" s="1"/>
  <c r="D5"/>
  <c r="E5" s="1"/>
  <c r="D4"/>
  <c r="E4" s="1"/>
  <c r="D3"/>
  <c r="E29" s="1"/>
  <c r="F29" s="1"/>
  <c r="E9" i="9"/>
  <c r="F9" s="1"/>
  <c r="E8"/>
  <c r="F8" s="1"/>
  <c r="E7"/>
  <c r="F7" s="1"/>
  <c r="E6"/>
  <c r="F6" s="1"/>
  <c r="E5"/>
  <c r="F5" s="1"/>
  <c r="E4"/>
  <c r="D38" s="1"/>
  <c r="E38" s="1"/>
  <c r="F38" s="1"/>
  <c r="F10" i="8"/>
  <c r="G10" s="1"/>
  <c r="F9"/>
  <c r="G9" s="1"/>
  <c r="F8"/>
  <c r="G8" s="1"/>
  <c r="F7"/>
  <c r="G7" s="1"/>
  <c r="F6"/>
  <c r="G6" s="1"/>
  <c r="F5"/>
  <c r="E38" s="1"/>
  <c r="F38" s="1"/>
  <c r="G38" s="1"/>
  <c r="E46" i="16" l="1"/>
  <c r="G46" s="1"/>
  <c r="D46"/>
  <c r="E44"/>
  <c r="G44" s="1"/>
  <c r="D44"/>
  <c r="D41"/>
  <c r="E41"/>
  <c r="D39"/>
  <c r="E39"/>
  <c r="D45"/>
  <c r="E45"/>
  <c r="D43"/>
  <c r="E43"/>
  <c r="G43" s="1"/>
  <c r="E42"/>
  <c r="G42" s="1"/>
  <c r="D42"/>
  <c r="E40"/>
  <c r="G40" s="1"/>
  <c r="D40"/>
  <c r="J12" i="15"/>
  <c r="H12"/>
  <c r="I12"/>
  <c r="G12"/>
  <c r="J20"/>
  <c r="H20"/>
  <c r="I20"/>
  <c r="G20"/>
  <c r="J28"/>
  <c r="H28"/>
  <c r="I28"/>
  <c r="G28"/>
  <c r="E5"/>
  <c r="E38"/>
  <c r="F38" s="1"/>
  <c r="H36" s="1"/>
  <c r="E4" i="14"/>
  <c r="E12"/>
  <c r="F12" s="1"/>
  <c r="G11" s="1"/>
  <c r="E14"/>
  <c r="F14" s="1"/>
  <c r="E16"/>
  <c r="F16" s="1"/>
  <c r="E20"/>
  <c r="F20" s="1"/>
  <c r="H19" s="1"/>
  <c r="E22"/>
  <c r="F22" s="1"/>
  <c r="E24"/>
  <c r="F24" s="1"/>
  <c r="E28"/>
  <c r="F28" s="1"/>
  <c r="G27" s="1"/>
  <c r="E30"/>
  <c r="F30" s="1"/>
  <c r="E32"/>
  <c r="F32" s="1"/>
  <c r="E36"/>
  <c r="F36" s="1"/>
  <c r="H35" s="1"/>
  <c r="E38"/>
  <c r="F38" s="1"/>
  <c r="K13" i="13"/>
  <c r="I13"/>
  <c r="J13"/>
  <c r="H13"/>
  <c r="K30"/>
  <c r="I30"/>
  <c r="J30"/>
  <c r="H30"/>
  <c r="F6"/>
  <c r="F21"/>
  <c r="G21" s="1"/>
  <c r="F40"/>
  <c r="G40" s="1"/>
  <c r="H38" s="1"/>
  <c r="E6" i="12"/>
  <c r="E14"/>
  <c r="F14" s="1"/>
  <c r="H13" s="1"/>
  <c r="E16"/>
  <c r="F16" s="1"/>
  <c r="E18"/>
  <c r="F18" s="1"/>
  <c r="E22"/>
  <c r="F22" s="1"/>
  <c r="H21" s="1"/>
  <c r="E24"/>
  <c r="F24" s="1"/>
  <c r="E26"/>
  <c r="F26" s="1"/>
  <c r="E32"/>
  <c r="F32" s="1"/>
  <c r="H31" s="1"/>
  <c r="E34"/>
  <c r="F34" s="1"/>
  <c r="E36"/>
  <c r="F36" s="1"/>
  <c r="E40"/>
  <c r="F40" s="1"/>
  <c r="H39" s="1"/>
  <c r="E42"/>
  <c r="F42" s="1"/>
  <c r="J34" i="11"/>
  <c r="K34"/>
  <c r="J10"/>
  <c r="H10"/>
  <c r="K10"/>
  <c r="I10"/>
  <c r="J18"/>
  <c r="H18"/>
  <c r="K18"/>
  <c r="I18"/>
  <c r="H26"/>
  <c r="I26"/>
  <c r="J26"/>
  <c r="K26"/>
  <c r="H34"/>
  <c r="I34"/>
  <c r="K10" i="10"/>
  <c r="J10"/>
  <c r="H10"/>
  <c r="I10"/>
  <c r="H18"/>
  <c r="I18"/>
  <c r="H26"/>
  <c r="I26"/>
  <c r="H34"/>
  <c r="I34"/>
  <c r="E3"/>
  <c r="F4" i="9"/>
  <c r="D16"/>
  <c r="E16" s="1"/>
  <c r="F16" s="1"/>
  <c r="D19"/>
  <c r="E19" s="1"/>
  <c r="F19" s="1"/>
  <c r="D21"/>
  <c r="E21" s="1"/>
  <c r="F21" s="1"/>
  <c r="D23"/>
  <c r="E23" s="1"/>
  <c r="F23" s="1"/>
  <c r="D25"/>
  <c r="E25" s="1"/>
  <c r="F25" s="1"/>
  <c r="D27"/>
  <c r="E27" s="1"/>
  <c r="F27" s="1"/>
  <c r="D29"/>
  <c r="E29" s="1"/>
  <c r="F29" s="1"/>
  <c r="D31"/>
  <c r="E31" s="1"/>
  <c r="F31" s="1"/>
  <c r="D33"/>
  <c r="E33" s="1"/>
  <c r="F33" s="1"/>
  <c r="D35"/>
  <c r="E35" s="1"/>
  <c r="F35" s="1"/>
  <c r="D37"/>
  <c r="E37" s="1"/>
  <c r="F37" s="1"/>
  <c r="D39"/>
  <c r="E39" s="1"/>
  <c r="F39" s="1"/>
  <c r="D15"/>
  <c r="E15" s="1"/>
  <c r="F15" s="1"/>
  <c r="D17"/>
  <c r="E17" s="1"/>
  <c r="D18"/>
  <c r="E18" s="1"/>
  <c r="F18" s="1"/>
  <c r="D20"/>
  <c r="E20" s="1"/>
  <c r="F20" s="1"/>
  <c r="D22"/>
  <c r="E22" s="1"/>
  <c r="F22" s="1"/>
  <c r="D24"/>
  <c r="E24" s="1"/>
  <c r="F24" s="1"/>
  <c r="D26"/>
  <c r="E26" s="1"/>
  <c r="F26" s="1"/>
  <c r="D28"/>
  <c r="E28" s="1"/>
  <c r="F28" s="1"/>
  <c r="D30"/>
  <c r="E30" s="1"/>
  <c r="F30" s="1"/>
  <c r="D32"/>
  <c r="E32" s="1"/>
  <c r="F32" s="1"/>
  <c r="D34"/>
  <c r="E34" s="1"/>
  <c r="F34" s="1"/>
  <c r="D36"/>
  <c r="E36" s="1"/>
  <c r="F36" s="1"/>
  <c r="E15" i="8"/>
  <c r="F15" s="1"/>
  <c r="G15" s="1"/>
  <c r="E17"/>
  <c r="F17" s="1"/>
  <c r="G17" s="1"/>
  <c r="E19"/>
  <c r="F19" s="1"/>
  <c r="G19" s="1"/>
  <c r="E22"/>
  <c r="F22" s="1"/>
  <c r="G22" s="1"/>
  <c r="E24"/>
  <c r="F24" s="1"/>
  <c r="G24" s="1"/>
  <c r="E26"/>
  <c r="F26" s="1"/>
  <c r="G26" s="1"/>
  <c r="E28"/>
  <c r="F28" s="1"/>
  <c r="G28" s="1"/>
  <c r="E30"/>
  <c r="F30" s="1"/>
  <c r="G30" s="1"/>
  <c r="E32"/>
  <c r="F32" s="1"/>
  <c r="G32" s="1"/>
  <c r="E35"/>
  <c r="F35" s="1"/>
  <c r="G35" s="1"/>
  <c r="E37"/>
  <c r="F37" s="1"/>
  <c r="G37" s="1"/>
  <c r="E39"/>
  <c r="F39" s="1"/>
  <c r="G39" s="1"/>
  <c r="G5"/>
  <c r="E16"/>
  <c r="F16" s="1"/>
  <c r="G16" s="1"/>
  <c r="E18"/>
  <c r="F18" s="1"/>
  <c r="G18" s="1"/>
  <c r="E20"/>
  <c r="F20" s="1"/>
  <c r="G20" s="1"/>
  <c r="E21"/>
  <c r="F21" s="1"/>
  <c r="G21" s="1"/>
  <c r="E23"/>
  <c r="F23" s="1"/>
  <c r="G23" s="1"/>
  <c r="E25"/>
  <c r="F25" s="1"/>
  <c r="G25" s="1"/>
  <c r="E29"/>
  <c r="F29" s="1"/>
  <c r="G29" s="1"/>
  <c r="E31"/>
  <c r="F31" s="1"/>
  <c r="G31" s="1"/>
  <c r="E33"/>
  <c r="F33" s="1"/>
  <c r="G33" s="1"/>
  <c r="E34"/>
  <c r="F34" s="1"/>
  <c r="G34" s="1"/>
  <c r="E36"/>
  <c r="F36" s="1"/>
  <c r="G36" s="1"/>
  <c r="G45" i="16" l="1"/>
  <c r="G39"/>
  <c r="G41"/>
  <c r="I36" i="15"/>
  <c r="J36"/>
  <c r="G36"/>
  <c r="I35" i="14"/>
  <c r="J35"/>
  <c r="H27"/>
  <c r="I19"/>
  <c r="J19"/>
  <c r="H11"/>
  <c r="G35"/>
  <c r="G19"/>
  <c r="K38" i="13"/>
  <c r="L43" s="1"/>
  <c r="J38"/>
  <c r="L35"/>
  <c r="L18"/>
  <c r="J21"/>
  <c r="H21"/>
  <c r="K21"/>
  <c r="L27" s="1"/>
  <c r="I21"/>
  <c r="I38"/>
  <c r="I39" i="12"/>
  <c r="J39"/>
  <c r="I31"/>
  <c r="J31"/>
  <c r="I21"/>
  <c r="J21"/>
  <c r="I13"/>
  <c r="J13"/>
  <c r="G39"/>
  <c r="G31"/>
  <c r="G21"/>
  <c r="G13"/>
  <c r="K28" i="9"/>
  <c r="H28"/>
  <c r="J28"/>
  <c r="G28"/>
  <c r="K34"/>
  <c r="H34"/>
  <c r="J34"/>
  <c r="G34"/>
  <c r="K15"/>
  <c r="H15"/>
  <c r="J15"/>
  <c r="G15"/>
  <c r="J21"/>
  <c r="G21"/>
  <c r="K21"/>
  <c r="L27" s="1"/>
  <c r="H21"/>
  <c r="I27" s="1"/>
  <c r="L34" i="8"/>
  <c r="I34"/>
  <c r="K34"/>
  <c r="H34"/>
  <c r="I21"/>
  <c r="J26" s="1"/>
  <c r="H21"/>
  <c r="H28"/>
  <c r="I28"/>
  <c r="H15"/>
  <c r="I15"/>
  <c r="L20" i="9" l="1"/>
  <c r="L39"/>
  <c r="L33"/>
  <c r="I20"/>
  <c r="I39"/>
  <c r="I33"/>
  <c r="M39" i="8"/>
  <c r="J20"/>
  <c r="J33"/>
  <c r="J39"/>
  <c r="M31" i="7"/>
  <c r="M32" s="1"/>
  <c r="M33" s="1"/>
  <c r="L31"/>
  <c r="L32" s="1"/>
  <c r="L33" s="1"/>
  <c r="K31"/>
  <c r="K32" s="1"/>
  <c r="K33" s="1"/>
  <c r="J31"/>
  <c r="J32" s="1"/>
  <c r="J33" s="1"/>
  <c r="I31"/>
  <c r="I32" s="1"/>
  <c r="I33" s="1"/>
  <c r="H31"/>
  <c r="H32" s="1"/>
  <c r="H33" s="1"/>
  <c r="G31"/>
  <c r="G32" s="1"/>
  <c r="G33" s="1"/>
  <c r="F31"/>
  <c r="F32" s="1"/>
  <c r="F33" s="1"/>
  <c r="E31"/>
  <c r="E32" s="1"/>
  <c r="E33" s="1"/>
  <c r="D31"/>
  <c r="D32" s="1"/>
  <c r="D33" s="1"/>
  <c r="C31"/>
  <c r="C32" s="1"/>
  <c r="C33" s="1"/>
  <c r="B31"/>
  <c r="B32" s="1"/>
  <c r="B33" s="1"/>
  <c r="M24"/>
  <c r="M25" s="1"/>
  <c r="M26" s="1"/>
  <c r="L24"/>
  <c r="L25" s="1"/>
  <c r="L26" s="1"/>
  <c r="K24"/>
  <c r="K25" s="1"/>
  <c r="K26" s="1"/>
  <c r="J24"/>
  <c r="J25" s="1"/>
  <c r="J26" s="1"/>
  <c r="I24"/>
  <c r="I25" s="1"/>
  <c r="I26" s="1"/>
  <c r="H24"/>
  <c r="H25" s="1"/>
  <c r="H26" s="1"/>
  <c r="G24"/>
  <c r="G25" s="1"/>
  <c r="G26" s="1"/>
  <c r="F24"/>
  <c r="F25" s="1"/>
  <c r="F26" s="1"/>
  <c r="E24"/>
  <c r="E25" s="1"/>
  <c r="E26" s="1"/>
  <c r="D24"/>
  <c r="D25" s="1"/>
  <c r="D26" s="1"/>
  <c r="C24"/>
  <c r="C25" s="1"/>
  <c r="C26" s="1"/>
  <c r="B24"/>
  <c r="B25" s="1"/>
  <c r="B26" s="1"/>
  <c r="M17"/>
  <c r="M18" s="1"/>
  <c r="M19" s="1"/>
  <c r="L17"/>
  <c r="L18" s="1"/>
  <c r="L19" s="1"/>
  <c r="K17"/>
  <c r="K18" s="1"/>
  <c r="K19" s="1"/>
  <c r="J17"/>
  <c r="J18" s="1"/>
  <c r="J19" s="1"/>
  <c r="I17"/>
  <c r="I18" s="1"/>
  <c r="I19" s="1"/>
  <c r="H17"/>
  <c r="H18" s="1"/>
  <c r="H19" s="1"/>
  <c r="G17"/>
  <c r="G18" s="1"/>
  <c r="G19" s="1"/>
  <c r="F17"/>
  <c r="F18" s="1"/>
  <c r="F19" s="1"/>
  <c r="E17"/>
  <c r="E18" s="1"/>
  <c r="E19" s="1"/>
  <c r="D17"/>
  <c r="D18" s="1"/>
  <c r="D19" s="1"/>
  <c r="C17"/>
  <c r="C18" s="1"/>
  <c r="C19" s="1"/>
  <c r="B17"/>
  <c r="B18" s="1"/>
  <c r="B19" s="1"/>
  <c r="M10"/>
  <c r="M11" s="1"/>
  <c r="M12" s="1"/>
  <c r="L10"/>
  <c r="L11" s="1"/>
  <c r="L12" s="1"/>
  <c r="K10"/>
  <c r="K11" s="1"/>
  <c r="K12" s="1"/>
  <c r="J10"/>
  <c r="J11" s="1"/>
  <c r="J12" s="1"/>
  <c r="I10"/>
  <c r="I11" s="1"/>
  <c r="I12" s="1"/>
  <c r="H10"/>
  <c r="H11" s="1"/>
  <c r="H12" s="1"/>
  <c r="G10"/>
  <c r="G11" s="1"/>
  <c r="G12" s="1"/>
  <c r="F10"/>
  <c r="F11" s="1"/>
  <c r="F12" s="1"/>
  <c r="E10"/>
  <c r="E11" s="1"/>
  <c r="E12" s="1"/>
  <c r="D10"/>
  <c r="D11" s="1"/>
  <c r="D12" s="1"/>
  <c r="C10"/>
  <c r="C11" s="1"/>
  <c r="C12" s="1"/>
  <c r="B10"/>
  <c r="B11" s="1"/>
  <c r="B12" s="1"/>
  <c r="D5"/>
  <c r="C5"/>
  <c r="N31" i="6"/>
  <c r="N32" s="1"/>
  <c r="N33" s="1"/>
  <c r="M31"/>
  <c r="M32" s="1"/>
  <c r="M33" s="1"/>
  <c r="L31"/>
  <c r="L32" s="1"/>
  <c r="L33" s="1"/>
  <c r="K31"/>
  <c r="K32" s="1"/>
  <c r="K33" s="1"/>
  <c r="J31"/>
  <c r="J32" s="1"/>
  <c r="J33" s="1"/>
  <c r="I31"/>
  <c r="I32" s="1"/>
  <c r="I33" s="1"/>
  <c r="H31"/>
  <c r="H32" s="1"/>
  <c r="H33" s="1"/>
  <c r="G31"/>
  <c r="G32" s="1"/>
  <c r="G33" s="1"/>
  <c r="F31"/>
  <c r="F32" s="1"/>
  <c r="F33" s="1"/>
  <c r="E31"/>
  <c r="E32" s="1"/>
  <c r="E33" s="1"/>
  <c r="D31"/>
  <c r="D32" s="1"/>
  <c r="D33" s="1"/>
  <c r="C31"/>
  <c r="C32" s="1"/>
  <c r="C33" s="1"/>
  <c r="N24"/>
  <c r="N25" s="1"/>
  <c r="N26" s="1"/>
  <c r="M24"/>
  <c r="M25" s="1"/>
  <c r="M26" s="1"/>
  <c r="L24"/>
  <c r="L25" s="1"/>
  <c r="L26" s="1"/>
  <c r="K24"/>
  <c r="K25" s="1"/>
  <c r="K26" s="1"/>
  <c r="J24"/>
  <c r="J25" s="1"/>
  <c r="J26" s="1"/>
  <c r="I24"/>
  <c r="I25" s="1"/>
  <c r="I26" s="1"/>
  <c r="H24"/>
  <c r="H25" s="1"/>
  <c r="H26" s="1"/>
  <c r="G24"/>
  <c r="G25" s="1"/>
  <c r="G26" s="1"/>
  <c r="F24"/>
  <c r="F25" s="1"/>
  <c r="F26" s="1"/>
  <c r="E24"/>
  <c r="E25" s="1"/>
  <c r="E26" s="1"/>
  <c r="D24"/>
  <c r="D25" s="1"/>
  <c r="D26" s="1"/>
  <c r="C24"/>
  <c r="C25" s="1"/>
  <c r="C26" s="1"/>
  <c r="N17"/>
  <c r="N18" s="1"/>
  <c r="N19" s="1"/>
  <c r="M17"/>
  <c r="M18" s="1"/>
  <c r="M19" s="1"/>
  <c r="L17"/>
  <c r="L18" s="1"/>
  <c r="L19" s="1"/>
  <c r="K17"/>
  <c r="K18" s="1"/>
  <c r="K19" s="1"/>
  <c r="J17"/>
  <c r="J18" s="1"/>
  <c r="J19" s="1"/>
  <c r="I17"/>
  <c r="I18" s="1"/>
  <c r="I19" s="1"/>
  <c r="H17"/>
  <c r="H18" s="1"/>
  <c r="H19" s="1"/>
  <c r="G17"/>
  <c r="G18" s="1"/>
  <c r="G19" s="1"/>
  <c r="F17"/>
  <c r="F18" s="1"/>
  <c r="F19" s="1"/>
  <c r="E17"/>
  <c r="E18" s="1"/>
  <c r="E19" s="1"/>
  <c r="D17"/>
  <c r="D18" s="1"/>
  <c r="D19" s="1"/>
  <c r="C17"/>
  <c r="C18" s="1"/>
  <c r="C19" s="1"/>
  <c r="N10"/>
  <c r="N11" s="1"/>
  <c r="N12" s="1"/>
  <c r="M10"/>
  <c r="M11" s="1"/>
  <c r="M12" s="1"/>
  <c r="L10"/>
  <c r="L11" s="1"/>
  <c r="L12" s="1"/>
  <c r="K10"/>
  <c r="K11" s="1"/>
  <c r="K12" s="1"/>
  <c r="J10"/>
  <c r="J11" s="1"/>
  <c r="J12" s="1"/>
  <c r="I10"/>
  <c r="I11" s="1"/>
  <c r="I12" s="1"/>
  <c r="H10"/>
  <c r="H11" s="1"/>
  <c r="H12" s="1"/>
  <c r="G10"/>
  <c r="G11" s="1"/>
  <c r="G12" s="1"/>
  <c r="F10"/>
  <c r="F11" s="1"/>
  <c r="F12" s="1"/>
  <c r="E10"/>
  <c r="E11" s="1"/>
  <c r="E12" s="1"/>
  <c r="D10"/>
  <c r="D11" s="1"/>
  <c r="D12" s="1"/>
  <c r="C10"/>
  <c r="C11" s="1"/>
  <c r="C12" s="1"/>
  <c r="E5"/>
  <c r="D5"/>
  <c r="C5"/>
  <c r="H36" i="5"/>
  <c r="I36" s="1"/>
  <c r="E36"/>
  <c r="H35"/>
  <c r="I35" s="1"/>
  <c r="E35"/>
  <c r="H34"/>
  <c r="I34" s="1"/>
  <c r="E34"/>
  <c r="H33"/>
  <c r="I33" s="1"/>
  <c r="E33"/>
  <c r="H32"/>
  <c r="I32" s="1"/>
  <c r="E32"/>
  <c r="H31"/>
  <c r="I31" s="1"/>
  <c r="E31"/>
  <c r="H30"/>
  <c r="I30" s="1"/>
  <c r="E30"/>
  <c r="H29"/>
  <c r="I29" s="1"/>
  <c r="E29"/>
  <c r="H28"/>
  <c r="I28" s="1"/>
  <c r="E28"/>
  <c r="H27"/>
  <c r="I27" s="1"/>
  <c r="E27"/>
  <c r="H26"/>
  <c r="I26" s="1"/>
  <c r="E26"/>
  <c r="H25"/>
  <c r="I25" s="1"/>
  <c r="E25"/>
  <c r="H24"/>
  <c r="I24" s="1"/>
  <c r="E24"/>
  <c r="H23"/>
  <c r="I23" s="1"/>
  <c r="E23"/>
  <c r="H22"/>
  <c r="I22" s="1"/>
  <c r="E22"/>
  <c r="H21"/>
  <c r="I21" s="1"/>
  <c r="E21"/>
  <c r="H20"/>
  <c r="I20" s="1"/>
  <c r="E20"/>
  <c r="H19"/>
  <c r="I19" s="1"/>
  <c r="E19"/>
  <c r="H18"/>
  <c r="I18" s="1"/>
  <c r="E18"/>
  <c r="H17"/>
  <c r="I17" s="1"/>
  <c r="E17"/>
  <c r="H16"/>
  <c r="I16" s="1"/>
  <c r="E16"/>
  <c r="H15"/>
  <c r="I15" s="1"/>
  <c r="E15"/>
  <c r="H14"/>
  <c r="E14"/>
  <c r="I14" s="1"/>
  <c r="H13"/>
  <c r="I13" s="1"/>
  <c r="E13"/>
  <c r="G9"/>
  <c r="H9" s="1"/>
  <c r="D9"/>
  <c r="G8"/>
  <c r="H8" s="1"/>
  <c r="D8"/>
  <c r="G7"/>
  <c r="H7" s="1"/>
  <c r="D7"/>
  <c r="G6"/>
  <c r="H6" s="1"/>
  <c r="D6"/>
  <c r="G5"/>
  <c r="H5" s="1"/>
  <c r="D5"/>
  <c r="G4"/>
  <c r="H4" s="1"/>
  <c r="I4" s="1"/>
  <c r="D4"/>
  <c r="H36" i="4"/>
  <c r="E36"/>
  <c r="I36" s="1"/>
  <c r="H35"/>
  <c r="I35" s="1"/>
  <c r="E35"/>
  <c r="H34"/>
  <c r="E34"/>
  <c r="I34" s="1"/>
  <c r="H33"/>
  <c r="I33" s="1"/>
  <c r="E33"/>
  <c r="H32"/>
  <c r="E32"/>
  <c r="I32" s="1"/>
  <c r="H31"/>
  <c r="I31" s="1"/>
  <c r="E31"/>
  <c r="H30"/>
  <c r="E30"/>
  <c r="I30" s="1"/>
  <c r="H29"/>
  <c r="I29" s="1"/>
  <c r="E29"/>
  <c r="H28"/>
  <c r="E28"/>
  <c r="I28" s="1"/>
  <c r="H27"/>
  <c r="I27" s="1"/>
  <c r="E27"/>
  <c r="H26"/>
  <c r="E26"/>
  <c r="I26" s="1"/>
  <c r="H25"/>
  <c r="I25" s="1"/>
  <c r="E25"/>
  <c r="H24"/>
  <c r="E24"/>
  <c r="I24" s="1"/>
  <c r="H23"/>
  <c r="I23" s="1"/>
  <c r="E23"/>
  <c r="H22"/>
  <c r="E22"/>
  <c r="I22" s="1"/>
  <c r="H21"/>
  <c r="I21" s="1"/>
  <c r="E21"/>
  <c r="H20"/>
  <c r="E20"/>
  <c r="I20" s="1"/>
  <c r="H19"/>
  <c r="I19" s="1"/>
  <c r="E19"/>
  <c r="H18"/>
  <c r="E18"/>
  <c r="I18" s="1"/>
  <c r="H17"/>
  <c r="I17" s="1"/>
  <c r="E17"/>
  <c r="H16"/>
  <c r="E16"/>
  <c r="I16" s="1"/>
  <c r="H15"/>
  <c r="I15" s="1"/>
  <c r="E15"/>
  <c r="H14"/>
  <c r="E14"/>
  <c r="I14" s="1"/>
  <c r="H13"/>
  <c r="I13" s="1"/>
  <c r="E13"/>
  <c r="G9"/>
  <c r="H9" s="1"/>
  <c r="D9"/>
  <c r="G8"/>
  <c r="H8" s="1"/>
  <c r="D8"/>
  <c r="G7"/>
  <c r="H7" s="1"/>
  <c r="D7"/>
  <c r="G6"/>
  <c r="H6" s="1"/>
  <c r="D6"/>
  <c r="G5"/>
  <c r="H5" s="1"/>
  <c r="D5"/>
  <c r="G4"/>
  <c r="H4" s="1"/>
  <c r="I4" s="1"/>
  <c r="D4"/>
  <c r="I5" i="5" l="1"/>
  <c r="I6"/>
  <c r="I7"/>
  <c r="I8"/>
  <c r="I9"/>
  <c r="J13"/>
  <c r="K13" s="1"/>
  <c r="J15"/>
  <c r="K15" s="1"/>
  <c r="J16"/>
  <c r="K16" s="1"/>
  <c r="J17"/>
  <c r="K17" s="1"/>
  <c r="J18"/>
  <c r="K18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32"/>
  <c r="K32" s="1"/>
  <c r="J33"/>
  <c r="K33" s="1"/>
  <c r="J34"/>
  <c r="K34" s="1"/>
  <c r="J35"/>
  <c r="K35" s="1"/>
  <c r="J36"/>
  <c r="K36" s="1"/>
  <c r="J14"/>
  <c r="K14" s="1"/>
  <c r="I5" i="4"/>
  <c r="I6"/>
  <c r="I7"/>
  <c r="I8"/>
  <c r="I9"/>
  <c r="J13"/>
  <c r="K13" s="1"/>
  <c r="J15"/>
  <c r="K15" s="1"/>
  <c r="J17"/>
  <c r="K17" s="1"/>
  <c r="J19"/>
  <c r="K19" s="1"/>
  <c r="J21"/>
  <c r="K21" s="1"/>
  <c r="J23"/>
  <c r="K23" s="1"/>
  <c r="J25"/>
  <c r="K25" s="1"/>
  <c r="J27"/>
  <c r="K27" s="1"/>
  <c r="J29"/>
  <c r="K29" s="1"/>
  <c r="J31"/>
  <c r="K31" s="1"/>
  <c r="J33"/>
  <c r="K33" s="1"/>
  <c r="J35"/>
  <c r="K35" s="1"/>
  <c r="J14"/>
  <c r="K14" s="1"/>
  <c r="J16"/>
  <c r="K16" s="1"/>
  <c r="J18"/>
  <c r="K18" s="1"/>
  <c r="J20"/>
  <c r="K20" s="1"/>
  <c r="J22"/>
  <c r="K22" s="1"/>
  <c r="J24"/>
  <c r="K24" s="1"/>
  <c r="J26"/>
  <c r="K26" s="1"/>
  <c r="J28"/>
  <c r="K28" s="1"/>
  <c r="J30"/>
  <c r="K30" s="1"/>
  <c r="J32"/>
  <c r="K32" s="1"/>
  <c r="J34"/>
  <c r="K34" s="1"/>
  <c r="J36"/>
  <c r="K36" s="1"/>
  <c r="M31" i="5" l="1"/>
  <c r="L31"/>
  <c r="O25"/>
  <c r="M25"/>
  <c r="N25"/>
  <c r="L25"/>
  <c r="M19"/>
  <c r="L19"/>
  <c r="O31"/>
  <c r="N31"/>
  <c r="O13"/>
  <c r="M13"/>
  <c r="N13"/>
  <c r="L13"/>
  <c r="M31" i="4"/>
  <c r="L31"/>
  <c r="M19"/>
  <c r="L19"/>
  <c r="O25"/>
  <c r="N25"/>
  <c r="M25"/>
  <c r="L25"/>
  <c r="O13"/>
  <c r="M13"/>
  <c r="N13"/>
  <c r="L13"/>
</calcChain>
</file>

<file path=xl/comments1.xml><?xml version="1.0" encoding="utf-8"?>
<comments xmlns="http://schemas.openxmlformats.org/spreadsheetml/2006/main">
  <authors>
    <author>Laia Oliva</author>
  </authors>
  <commentList>
    <comment ref="G28" authorId="0">
      <text>
        <r>
          <rPr>
            <b/>
            <sz val="9"/>
            <color indexed="81"/>
            <rFont val="Tahoma"/>
            <family val="2"/>
          </rPr>
          <t>Laia Oliva:</t>
        </r>
        <r>
          <rPr>
            <sz val="9"/>
            <color indexed="81"/>
            <rFont val="Tahoma"/>
            <family val="2"/>
          </rPr>
          <t xml:space="preserve">
Valors procedents de la repetició</t>
        </r>
      </text>
    </comment>
  </commentList>
</comments>
</file>

<file path=xl/comments2.xml><?xml version="1.0" encoding="utf-8"?>
<comments xmlns="http://schemas.openxmlformats.org/spreadsheetml/2006/main">
  <authors>
    <author>Laia Oliva</author>
  </authors>
  <commentList>
    <comment ref="D33" authorId="0">
      <text>
        <r>
          <rPr>
            <b/>
            <sz val="9"/>
            <color indexed="81"/>
            <rFont val="Tahoma"/>
            <charset val="1"/>
          </rPr>
          <t>Laia Oliva:</t>
        </r>
        <r>
          <rPr>
            <sz val="9"/>
            <color indexed="81"/>
            <rFont val="Tahoma"/>
            <charset val="1"/>
          </rPr>
          <t xml:space="preserve">
Cambiado el orden. la E8 era la rata 4 y la D8 la rata 5.</t>
        </r>
      </text>
    </comment>
  </commentList>
</comments>
</file>

<file path=xl/sharedStrings.xml><?xml version="1.0" encoding="utf-8"?>
<sst xmlns="http://schemas.openxmlformats.org/spreadsheetml/2006/main" count="271" uniqueCount="94">
  <si>
    <t>Patró</t>
  </si>
  <si>
    <t>[patró (mM)</t>
  </si>
  <si>
    <t>DO1</t>
  </si>
  <si>
    <t>Promig DO1</t>
  </si>
  <si>
    <t>DO2</t>
  </si>
  <si>
    <t>Promig DO2</t>
  </si>
  <si>
    <t>DO2-DO1</t>
  </si>
  <si>
    <t>(DO2-DO1)-blanc</t>
  </si>
  <si>
    <t>Test chi</t>
  </si>
  <si>
    <t>Mostres</t>
  </si>
  <si>
    <t>[NEFA] (mM)</t>
  </si>
  <si>
    <t>Promig</t>
  </si>
  <si>
    <t>Error</t>
  </si>
  <si>
    <t>Femelles control</t>
  </si>
  <si>
    <t>Mascles control</t>
  </si>
  <si>
    <t>Femelles cafeteria</t>
  </si>
  <si>
    <t>Mascles cafeteria</t>
  </si>
  <si>
    <t>HP mascles</t>
  </si>
  <si>
    <t>Hp femelles</t>
  </si>
  <si>
    <t>HL mascles</t>
  </si>
  <si>
    <t>Hl femelles</t>
  </si>
  <si>
    <t>Blanc</t>
  </si>
  <si>
    <t>C</t>
  </si>
  <si>
    <t>ADO</t>
  </si>
  <si>
    <t>Control</t>
  </si>
  <si>
    <t>ADO - ADOblanc</t>
  </si>
  <si>
    <t>mM hidroxubut</t>
  </si>
  <si>
    <t>K</t>
  </si>
  <si>
    <t>HL</t>
  </si>
  <si>
    <t>HP</t>
  </si>
  <si>
    <t>Kit + Mutarotasa 1/75  (plasma sense desproteïnitzar)</t>
  </si>
  <si>
    <t>mM</t>
  </si>
  <si>
    <t>Promedio</t>
  </si>
  <si>
    <t>Prom - blanc</t>
  </si>
  <si>
    <t>[Glucosa] mM</t>
  </si>
  <si>
    <t>Valor exclòs</t>
  </si>
  <si>
    <t>Extrapolat</t>
  </si>
  <si>
    <t>Dilució 1/2</t>
  </si>
  <si>
    <t>% Error</t>
  </si>
  <si>
    <t>Femelles C</t>
  </si>
  <si>
    <t>Mascles C</t>
  </si>
  <si>
    <t>Femelles K</t>
  </si>
  <si>
    <t>Mascles K</t>
  </si>
  <si>
    <t>Kit + Mutarotasa 1/75</t>
  </si>
  <si>
    <t>Patró mM</t>
  </si>
  <si>
    <t>DO</t>
  </si>
  <si>
    <t>Prom-blanc</t>
  </si>
  <si>
    <t>Test Chi / valor exclòs</t>
  </si>
  <si>
    <t>DO-blanc</t>
  </si>
  <si>
    <t>ES</t>
  </si>
  <si>
    <t>%</t>
  </si>
  <si>
    <t>HP M</t>
  </si>
  <si>
    <t>HP F</t>
  </si>
  <si>
    <t>HL M</t>
  </si>
  <si>
    <t>HL F</t>
  </si>
  <si>
    <t>Abs- blanc</t>
  </si>
  <si>
    <t>Tània Aranda</t>
  </si>
  <si>
    <t>[Lactat] (mM)</t>
  </si>
  <si>
    <t>dil. 1/4</t>
  </si>
  <si>
    <t>error</t>
  </si>
  <si>
    <t xml:space="preserve">Femelles cafeteria </t>
  </si>
  <si>
    <t>HP Mascles</t>
  </si>
  <si>
    <t>Promig (mM)</t>
  </si>
  <si>
    <t>HP femelles</t>
  </si>
  <si>
    <t>HL femelles</t>
  </si>
  <si>
    <t>Promig - blanc</t>
  </si>
  <si>
    <t xml:space="preserve">Femelles Control </t>
  </si>
  <si>
    <t>[Colesterol]</t>
  </si>
  <si>
    <t>Test Chi</t>
  </si>
  <si>
    <t xml:space="preserve">Mascles Control </t>
  </si>
  <si>
    <t xml:space="preserve">Femelles Kafetera </t>
  </si>
  <si>
    <t>Mascles Kafetera</t>
  </si>
  <si>
    <t>Mitjana</t>
  </si>
  <si>
    <t>Mitjana-blanc</t>
  </si>
  <si>
    <t>HP 1-6</t>
  </si>
  <si>
    <t>Concentració</t>
  </si>
  <si>
    <t>HP 7-12</t>
  </si>
  <si>
    <t>HL1-6</t>
  </si>
  <si>
    <t>HL 7-12</t>
  </si>
  <si>
    <t>C femelles</t>
  </si>
  <si>
    <t>C mascles</t>
  </si>
  <si>
    <t>K femelles</t>
  </si>
  <si>
    <t>K mascles</t>
  </si>
  <si>
    <t>Mitjana -blanc</t>
  </si>
  <si>
    <t>Concentracio</t>
  </si>
  <si>
    <t>Femelles</t>
  </si>
  <si>
    <t>Mascles</t>
  </si>
  <si>
    <t>g/L</t>
  </si>
  <si>
    <t>Dil 1/3</t>
  </si>
  <si>
    <t>Promig (g/L)</t>
  </si>
  <si>
    <t>n</t>
  </si>
  <si>
    <t>% error</t>
  </si>
  <si>
    <t>C Mascles</t>
  </si>
  <si>
    <t>K Mascles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</si>
</sst>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2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</font>
    <font>
      <sz val="10"/>
      <color rgb="FF27413E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8" tint="-0.249977111117893"/>
      <name val="Calibri"/>
      <family val="2"/>
      <scheme val="minor"/>
    </font>
    <font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48"/>
      <name val="Arial"/>
      <family val="2"/>
    </font>
    <font>
      <sz val="10"/>
      <color indexed="48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indexed="57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D8E9F9"/>
        <bgColor indexed="64"/>
      </patternFill>
    </fill>
    <fill>
      <patternFill patternType="solid">
        <fgColor rgb="FFC9E0F4"/>
        <bgColor indexed="64"/>
      </patternFill>
    </fill>
    <fill>
      <patternFill patternType="solid">
        <fgColor rgb="FFABCEEA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rgb="FF9CC5E5"/>
        <bgColor indexed="64"/>
      </patternFill>
    </fill>
    <fill>
      <patternFill patternType="solid">
        <fgColor rgb="FF3385C2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7EB2DB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rgb="FF5197CC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201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2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3" borderId="2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 vertical="center" wrapText="1"/>
    </xf>
    <xf numFmtId="164" fontId="0" fillId="5" borderId="0" xfId="0" applyNumberFormat="1" applyFill="1" applyAlignment="1">
      <alignment horizontal="center"/>
    </xf>
    <xf numFmtId="164" fontId="5" fillId="0" borderId="0" xfId="0" applyNumberFormat="1" applyFont="1" applyAlignment="1">
      <alignment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14" borderId="0" xfId="0" applyFill="1" applyAlignment="1">
      <alignment horizontal="center"/>
    </xf>
    <xf numFmtId="0" fontId="3" fillId="14" borderId="0" xfId="0" applyFont="1" applyFill="1" applyAlignment="1">
      <alignment horizontal="center" vertical="center" wrapText="1"/>
    </xf>
    <xf numFmtId="0" fontId="8" fillId="15" borderId="3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8" fillId="16" borderId="4" xfId="0" applyFont="1" applyFill="1" applyBorder="1" applyAlignment="1">
      <alignment horizontal="center" vertical="center" wrapText="1"/>
    </xf>
    <xf numFmtId="0" fontId="8" fillId="16" borderId="3" xfId="0" applyFont="1" applyFill="1" applyBorder="1" applyAlignment="1">
      <alignment horizontal="center" vertical="center" wrapText="1"/>
    </xf>
    <xf numFmtId="0" fontId="8" fillId="17" borderId="3" xfId="0" applyFont="1" applyFill="1" applyBorder="1" applyAlignment="1">
      <alignment horizontal="center" vertical="center" wrapText="1"/>
    </xf>
    <xf numFmtId="0" fontId="8" fillId="18" borderId="3" xfId="0" applyFont="1" applyFill="1" applyBorder="1" applyAlignment="1">
      <alignment horizontal="center" vertical="center" wrapText="1"/>
    </xf>
    <xf numFmtId="0" fontId="8" fillId="17" borderId="4" xfId="0" applyFont="1" applyFill="1" applyBorder="1" applyAlignment="1">
      <alignment horizontal="center" vertical="center" wrapText="1"/>
    </xf>
    <xf numFmtId="0" fontId="8" fillId="19" borderId="3" xfId="0" applyFont="1" applyFill="1" applyBorder="1" applyAlignment="1">
      <alignment horizontal="center" vertical="center" wrapText="1"/>
    </xf>
    <xf numFmtId="0" fontId="8" fillId="19" borderId="4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164" fontId="0" fillId="14" borderId="0" xfId="0" applyNumberFormat="1" applyFill="1" applyAlignment="1">
      <alignment horizontal="center"/>
    </xf>
    <xf numFmtId="0" fontId="8" fillId="10" borderId="3" xfId="0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 wrapText="1"/>
    </xf>
    <xf numFmtId="0" fontId="8" fillId="20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9" fillId="0" borderId="0" xfId="2"/>
    <xf numFmtId="0" fontId="6" fillId="0" borderId="0" xfId="2" applyFont="1"/>
    <xf numFmtId="0" fontId="8" fillId="19" borderId="3" xfId="1" applyFont="1" applyFill="1" applyBorder="1" applyAlignment="1">
      <alignment horizontal="center" vertical="center" wrapText="1"/>
    </xf>
    <xf numFmtId="0" fontId="8" fillId="15" borderId="3" xfId="1" applyFont="1" applyFill="1" applyBorder="1" applyAlignment="1">
      <alignment horizontal="center" vertical="center" wrapText="1"/>
    </xf>
    <xf numFmtId="0" fontId="8" fillId="16" borderId="3" xfId="1" applyFont="1" applyFill="1" applyBorder="1" applyAlignment="1">
      <alignment horizontal="center" vertical="center" wrapText="1"/>
    </xf>
    <xf numFmtId="0" fontId="8" fillId="17" borderId="3" xfId="1" applyFont="1" applyFill="1" applyBorder="1" applyAlignment="1">
      <alignment horizontal="center" vertical="center" wrapText="1"/>
    </xf>
    <xf numFmtId="0" fontId="6" fillId="0" borderId="0" xfId="2" applyFont="1" applyFill="1" applyBorder="1"/>
    <xf numFmtId="0" fontId="10" fillId="21" borderId="3" xfId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8" fillId="12" borderId="3" xfId="1" applyFont="1" applyFill="1" applyBorder="1" applyAlignment="1">
      <alignment horizontal="center" vertical="center" wrapText="1"/>
    </xf>
    <xf numFmtId="0" fontId="12" fillId="0" borderId="0" xfId="2" applyFont="1" applyFill="1" applyBorder="1"/>
    <xf numFmtId="165" fontId="9" fillId="0" borderId="0" xfId="2" applyNumberFormat="1"/>
    <xf numFmtId="0" fontId="8" fillId="7" borderId="3" xfId="1" applyFont="1" applyFill="1" applyBorder="1" applyAlignment="1">
      <alignment horizontal="center" vertical="center" wrapText="1"/>
    </xf>
    <xf numFmtId="0" fontId="8" fillId="8" borderId="3" xfId="1" applyFont="1" applyFill="1" applyBorder="1" applyAlignment="1">
      <alignment horizontal="center" vertical="center" wrapText="1"/>
    </xf>
    <xf numFmtId="0" fontId="8" fillId="18" borderId="3" xfId="1" applyFont="1" applyFill="1" applyBorder="1" applyAlignment="1">
      <alignment horizontal="center" vertical="center" wrapText="1"/>
    </xf>
    <xf numFmtId="0" fontId="8" fillId="13" borderId="3" xfId="1" applyFont="1" applyFill="1" applyBorder="1" applyAlignment="1">
      <alignment horizontal="center" vertical="center" wrapText="1"/>
    </xf>
    <xf numFmtId="0" fontId="9" fillId="0" borderId="0" xfId="2" applyFill="1" applyBorder="1"/>
    <xf numFmtId="0" fontId="6" fillId="0" borderId="0" xfId="1" applyFill="1" applyBorder="1" applyAlignment="1">
      <alignment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9" borderId="3" xfId="1" applyFont="1" applyFill="1" applyBorder="1" applyAlignment="1">
      <alignment horizontal="center" vertical="center" wrapText="1"/>
    </xf>
    <xf numFmtId="0" fontId="8" fillId="11" borderId="3" xfId="1" applyFont="1" applyFill="1" applyBorder="1" applyAlignment="1">
      <alignment horizontal="center" vertical="center" wrapText="1"/>
    </xf>
    <xf numFmtId="0" fontId="8" fillId="10" borderId="3" xfId="1" applyFont="1" applyFill="1" applyBorder="1" applyAlignment="1">
      <alignment horizontal="center" vertical="center" wrapText="1"/>
    </xf>
    <xf numFmtId="0" fontId="8" fillId="20" borderId="3" xfId="1" applyFont="1" applyFill="1" applyBorder="1" applyAlignment="1">
      <alignment horizontal="center" vertical="center" wrapText="1"/>
    </xf>
    <xf numFmtId="0" fontId="0" fillId="22" borderId="0" xfId="0" applyFill="1" applyAlignment="1">
      <alignment horizontal="center" wrapText="1"/>
    </xf>
    <xf numFmtId="0" fontId="10" fillId="21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1" fillId="2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6" fontId="0" fillId="0" borderId="0" xfId="0" applyNumberFormat="1"/>
    <xf numFmtId="2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2" fontId="0" fillId="0" borderId="0" xfId="0" applyNumberFormat="1"/>
    <xf numFmtId="0" fontId="0" fillId="22" borderId="0" xfId="0" applyFill="1" applyAlignment="1">
      <alignment horizontal="center"/>
    </xf>
    <xf numFmtId="0" fontId="0" fillId="0" borderId="6" xfId="0" applyBorder="1" applyAlignment="1">
      <alignment horizontal="center"/>
    </xf>
    <xf numFmtId="0" fontId="0" fillId="2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13" fillId="0" borderId="0" xfId="0" applyNumberFormat="1" applyFont="1"/>
    <xf numFmtId="0" fontId="1" fillId="0" borderId="0" xfId="0" applyFont="1"/>
    <xf numFmtId="2" fontId="1" fillId="0" borderId="0" xfId="0" applyNumberFormat="1" applyFont="1"/>
    <xf numFmtId="2" fontId="0" fillId="23" borderId="0" xfId="0" applyNumberFormat="1" applyFill="1"/>
    <xf numFmtId="0" fontId="11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9" fillId="0" borderId="0" xfId="2" applyAlignment="1">
      <alignment horizontal="center"/>
    </xf>
    <xf numFmtId="0" fontId="7" fillId="2" borderId="2" xfId="2" applyFont="1" applyFill="1" applyBorder="1" applyAlignment="1">
      <alignment horizontal="center" vertical="center" wrapText="1"/>
    </xf>
    <xf numFmtId="164" fontId="9" fillId="0" borderId="0" xfId="2" applyNumberFormat="1"/>
    <xf numFmtId="0" fontId="7" fillId="3" borderId="2" xfId="2" applyFont="1" applyFill="1" applyBorder="1" applyAlignment="1">
      <alignment horizontal="center" vertical="center" wrapText="1"/>
    </xf>
    <xf numFmtId="0" fontId="14" fillId="4" borderId="2" xfId="2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11" fillId="24" borderId="0" xfId="2" applyFont="1" applyFill="1" applyAlignment="1">
      <alignment horizontal="center"/>
    </xf>
    <xf numFmtId="0" fontId="11" fillId="24" borderId="0" xfId="2" applyFont="1" applyFill="1" applyAlignment="1">
      <alignment horizontal="center"/>
    </xf>
    <xf numFmtId="0" fontId="11" fillId="0" borderId="0" xfId="2" applyFont="1" applyFill="1" applyBorder="1" applyAlignment="1">
      <alignment horizontal="center"/>
    </xf>
    <xf numFmtId="164" fontId="6" fillId="0" borderId="0" xfId="2" applyNumberFormat="1" applyFont="1"/>
    <xf numFmtId="164" fontId="9" fillId="0" borderId="0" xfId="2" applyNumberFormat="1" applyAlignment="1">
      <alignment horizontal="center" vertical="center"/>
    </xf>
    <xf numFmtId="164" fontId="6" fillId="24" borderId="0" xfId="2" applyNumberFormat="1" applyFont="1" applyFill="1"/>
    <xf numFmtId="0" fontId="11" fillId="5" borderId="0" xfId="2" applyFont="1" applyFill="1" applyAlignment="1">
      <alignment horizontal="center"/>
    </xf>
    <xf numFmtId="0" fontId="11" fillId="5" borderId="0" xfId="2" applyFont="1" applyFill="1" applyAlignment="1">
      <alignment horizontal="center"/>
    </xf>
    <xf numFmtId="164" fontId="6" fillId="5" borderId="0" xfId="2" applyNumberFormat="1" applyFont="1" applyFill="1"/>
    <xf numFmtId="0" fontId="17" fillId="0" borderId="0" xfId="2" applyFont="1" applyFill="1" applyBorder="1" applyAlignment="1">
      <alignment horizontal="center"/>
    </xf>
    <xf numFmtId="0" fontId="18" fillId="0" borderId="0" xfId="2" applyFont="1"/>
    <xf numFmtId="0" fontId="11" fillId="0" borderId="0" xfId="2" applyFont="1" applyAlignment="1"/>
    <xf numFmtId="0" fontId="9" fillId="0" borderId="0" xfId="2" applyAlignment="1">
      <alignment horizontal="center" vertical="center"/>
    </xf>
    <xf numFmtId="0" fontId="9" fillId="0" borderId="6" xfId="2" applyBorder="1" applyAlignment="1">
      <alignment horizontal="center"/>
    </xf>
    <xf numFmtId="0" fontId="10" fillId="21" borderId="3" xfId="2" applyFont="1" applyFill="1" applyBorder="1" applyAlignment="1">
      <alignment horizontal="center" vertical="center" wrapText="1"/>
    </xf>
    <xf numFmtId="164" fontId="11" fillId="0" borderId="0" xfId="2" applyNumberFormat="1" applyFont="1" applyAlignment="1">
      <alignment horizontal="center" vertical="center"/>
    </xf>
    <xf numFmtId="164" fontId="11" fillId="0" borderId="0" xfId="2" applyNumberFormat="1" applyFont="1" applyAlignment="1">
      <alignment horizontal="center" vertical="center" wrapText="1"/>
    </xf>
    <xf numFmtId="0" fontId="8" fillId="7" borderId="3" xfId="2" applyFont="1" applyFill="1" applyBorder="1" applyAlignment="1">
      <alignment horizontal="center" vertical="center" wrapText="1"/>
    </xf>
    <xf numFmtId="164" fontId="9" fillId="0" borderId="0" xfId="2" applyNumberFormat="1" applyAlignment="1">
      <alignment horizontal="center" vertical="center"/>
    </xf>
    <xf numFmtId="0" fontId="8" fillId="8" borderId="3" xfId="2" applyFont="1" applyFill="1" applyBorder="1" applyAlignment="1">
      <alignment horizontal="center" vertical="center" wrapText="1"/>
    </xf>
    <xf numFmtId="0" fontId="8" fillId="9" borderId="3" xfId="2" applyFont="1" applyFill="1" applyBorder="1" applyAlignment="1">
      <alignment horizontal="center" vertical="center" wrapText="1"/>
    </xf>
    <xf numFmtId="0" fontId="8" fillId="16" borderId="3" xfId="2" applyFont="1" applyFill="1" applyBorder="1" applyAlignment="1">
      <alignment horizontal="center" vertical="center" wrapText="1"/>
    </xf>
    <xf numFmtId="0" fontId="8" fillId="12" borderId="3" xfId="2" applyFont="1" applyFill="1" applyBorder="1" applyAlignment="1">
      <alignment horizontal="center" vertical="center" wrapText="1"/>
    </xf>
    <xf numFmtId="0" fontId="9" fillId="0" borderId="7" xfId="2" applyBorder="1" applyAlignment="1">
      <alignment horizontal="center"/>
    </xf>
    <xf numFmtId="0" fontId="11" fillId="0" borderId="0" xfId="2" applyFont="1" applyAlignment="1">
      <alignment horizontal="center" vertical="center"/>
    </xf>
    <xf numFmtId="0" fontId="6" fillId="25" borderId="0" xfId="2" applyFont="1" applyFill="1" applyAlignment="1">
      <alignment horizontal="center"/>
    </xf>
    <xf numFmtId="0" fontId="9" fillId="25" borderId="0" xfId="2" applyFill="1" applyAlignment="1">
      <alignment horizontal="center"/>
    </xf>
    <xf numFmtId="0" fontId="11" fillId="0" borderId="0" xfId="2" applyFont="1" applyAlignment="1">
      <alignment horizontal="center" vertical="center"/>
    </xf>
    <xf numFmtId="0" fontId="9" fillId="0" borderId="0" xfId="2" applyFill="1" applyBorder="1" applyAlignment="1">
      <alignment horizontal="center" vertical="center"/>
    </xf>
    <xf numFmtId="0" fontId="8" fillId="10" borderId="3" xfId="2" applyFont="1" applyFill="1" applyBorder="1" applyAlignment="1">
      <alignment horizontal="center" vertical="center" wrapText="1"/>
    </xf>
    <xf numFmtId="164" fontId="11" fillId="0" borderId="0" xfId="2" applyNumberFormat="1" applyFont="1" applyAlignment="1">
      <alignment horizontal="center" vertical="center"/>
    </xf>
    <xf numFmtId="0" fontId="9" fillId="0" borderId="0" xfId="2" applyAlignment="1">
      <alignment horizontal="center" vertical="center"/>
    </xf>
    <xf numFmtId="0" fontId="8" fillId="11" borderId="3" xfId="2" applyFont="1" applyFill="1" applyBorder="1" applyAlignment="1">
      <alignment horizontal="center" vertical="center" wrapText="1"/>
    </xf>
    <xf numFmtId="164" fontId="19" fillId="25" borderId="0" xfId="2" applyNumberFormat="1" applyFont="1" applyFill="1" applyAlignment="1">
      <alignment horizontal="center" vertical="center"/>
    </xf>
    <xf numFmtId="0" fontId="8" fillId="17" borderId="3" xfId="2" applyFont="1" applyFill="1" applyBorder="1" applyAlignment="1">
      <alignment horizontal="center" vertical="center" wrapText="1"/>
    </xf>
    <xf numFmtId="0" fontId="8" fillId="15" borderId="3" xfId="2" applyFont="1" applyFill="1" applyBorder="1" applyAlignment="1">
      <alignment horizontal="center" vertical="center" wrapText="1"/>
    </xf>
    <xf numFmtId="0" fontId="8" fillId="26" borderId="7" xfId="2" applyFont="1" applyFill="1" applyBorder="1" applyAlignment="1">
      <alignment horizontal="center" vertical="center" wrapText="1"/>
    </xf>
    <xf numFmtId="164" fontId="9" fillId="26" borderId="0" xfId="2" applyNumberFormat="1" applyFill="1" applyAlignment="1">
      <alignment horizontal="center" vertical="center"/>
    </xf>
    <xf numFmtId="164" fontId="9" fillId="0" borderId="0" xfId="2" applyNumberFormat="1" applyAlignment="1">
      <alignment horizontal="center"/>
    </xf>
    <xf numFmtId="0" fontId="19" fillId="16" borderId="3" xfId="2" applyFont="1" applyFill="1" applyBorder="1" applyAlignment="1">
      <alignment horizontal="center" vertical="center" wrapText="1"/>
    </xf>
    <xf numFmtId="0" fontId="19" fillId="10" borderId="3" xfId="2" applyFont="1" applyFill="1" applyBorder="1" applyAlignment="1">
      <alignment horizontal="center" vertical="center" wrapText="1"/>
    </xf>
    <xf numFmtId="0" fontId="19" fillId="11" borderId="3" xfId="2" applyFont="1" applyFill="1" applyBorder="1" applyAlignment="1">
      <alignment horizontal="center" vertical="center" wrapText="1"/>
    </xf>
    <xf numFmtId="164" fontId="6" fillId="26" borderId="0" xfId="2" applyNumberFormat="1" applyFont="1" applyFill="1" applyAlignment="1">
      <alignment horizontal="center" vertical="center"/>
    </xf>
    <xf numFmtId="0" fontId="8" fillId="10" borderId="4" xfId="2" applyFont="1" applyFill="1" applyBorder="1" applyAlignment="1">
      <alignment horizontal="center" vertical="center" wrapText="1"/>
    </xf>
    <xf numFmtId="0" fontId="8" fillId="17" borderId="4" xfId="2" applyFont="1" applyFill="1" applyBorder="1" applyAlignment="1">
      <alignment horizontal="center" vertical="center" wrapText="1"/>
    </xf>
    <xf numFmtId="164" fontId="6" fillId="0" borderId="0" xfId="2" applyNumberFormat="1" applyFont="1" applyAlignment="1">
      <alignment horizontal="center" vertical="center"/>
    </xf>
    <xf numFmtId="0" fontId="8" fillId="20" borderId="3" xfId="2" applyFont="1" applyFill="1" applyBorder="1" applyAlignment="1">
      <alignment horizontal="center" vertical="center" wrapText="1"/>
    </xf>
    <xf numFmtId="0" fontId="8" fillId="13" borderId="3" xfId="2" applyFont="1" applyFill="1" applyBorder="1" applyAlignment="1">
      <alignment horizontal="center" vertical="center" wrapText="1"/>
    </xf>
    <xf numFmtId="164" fontId="9" fillId="27" borderId="0" xfId="2" applyNumberFormat="1" applyFill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9" fillId="0" borderId="5" xfId="2" applyBorder="1" applyAlignment="1">
      <alignment horizontal="center" vertical="center"/>
    </xf>
    <xf numFmtId="164" fontId="9" fillId="27" borderId="0" xfId="2" applyNumberFormat="1" applyFill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164" fontId="19" fillId="0" borderId="0" xfId="2" applyNumberFormat="1" applyFont="1" applyAlignment="1">
      <alignment horizontal="center" vertical="center"/>
    </xf>
    <xf numFmtId="164" fontId="19" fillId="27" borderId="0" xfId="2" applyNumberFormat="1" applyFont="1" applyFill="1" applyAlignment="1">
      <alignment horizontal="center" vertical="center"/>
    </xf>
    <xf numFmtId="0" fontId="9" fillId="0" borderId="0" xfId="2" applyBorder="1" applyAlignment="1">
      <alignment horizontal="center" vertical="center"/>
    </xf>
    <xf numFmtId="0" fontId="8" fillId="9" borderId="0" xfId="2" applyFont="1" applyFill="1" applyBorder="1" applyAlignment="1">
      <alignment horizontal="center" vertical="center" wrapText="1"/>
    </xf>
    <xf numFmtId="164" fontId="9" fillId="25" borderId="0" xfId="2" applyNumberFormat="1" applyFill="1" applyAlignment="1">
      <alignment horizontal="center" vertical="center"/>
    </xf>
    <xf numFmtId="164" fontId="9" fillId="0" borderId="0" xfId="2" applyNumberFormat="1" applyFill="1" applyAlignment="1">
      <alignment horizontal="center" vertical="center"/>
    </xf>
    <xf numFmtId="0" fontId="6" fillId="0" borderId="1" xfId="2" applyFont="1" applyBorder="1" applyAlignment="1">
      <alignment horizontal="center"/>
    </xf>
    <xf numFmtId="0" fontId="9" fillId="0" borderId="1" xfId="2" applyBorder="1" applyAlignment="1">
      <alignment horizontal="center"/>
    </xf>
    <xf numFmtId="0" fontId="22" fillId="3" borderId="2" xfId="2" applyFont="1" applyFill="1" applyBorder="1" applyAlignment="1">
      <alignment horizontal="center" vertical="center" wrapText="1"/>
    </xf>
    <xf numFmtId="164" fontId="6" fillId="5" borderId="0" xfId="2" applyNumberFormat="1" applyFont="1" applyFill="1" applyAlignment="1">
      <alignment horizontal="center" vertical="center"/>
    </xf>
    <xf numFmtId="164" fontId="9" fillId="5" borderId="0" xfId="2" applyNumberFormat="1" applyFill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164" fontId="6" fillId="5" borderId="0" xfId="2" applyNumberFormat="1" applyFont="1" applyFill="1" applyAlignment="1">
      <alignment horizontal="center" vertical="center"/>
    </xf>
    <xf numFmtId="0" fontId="9" fillId="0" borderId="8" xfId="2" applyBorder="1" applyAlignment="1">
      <alignment horizontal="center" vertical="center"/>
    </xf>
    <xf numFmtId="164" fontId="9" fillId="5" borderId="0" xfId="2" applyNumberFormat="1" applyFill="1" applyAlignment="1">
      <alignment horizontal="center" vertical="center"/>
    </xf>
    <xf numFmtId="164" fontId="6" fillId="25" borderId="0" xfId="2" applyNumberFormat="1" applyFont="1" applyFill="1" applyAlignment="1">
      <alignment horizontal="center" vertical="center"/>
    </xf>
    <xf numFmtId="164" fontId="9" fillId="25" borderId="0" xfId="2" applyNumberFormat="1" applyFill="1" applyAlignment="1">
      <alignment horizontal="center" vertical="center"/>
    </xf>
    <xf numFmtId="0" fontId="19" fillId="0" borderId="0" xfId="2" applyFont="1"/>
    <xf numFmtId="0" fontId="8" fillId="6" borderId="3" xfId="2" applyFont="1" applyFill="1" applyBorder="1" applyAlignment="1">
      <alignment horizontal="center" vertical="center" wrapText="1"/>
    </xf>
    <xf numFmtId="0" fontId="8" fillId="19" borderId="3" xfId="2" applyFont="1" applyFill="1" applyBorder="1" applyAlignment="1">
      <alignment horizontal="center" vertical="center" wrapText="1"/>
    </xf>
    <xf numFmtId="0" fontId="19" fillId="13" borderId="3" xfId="2" applyFont="1" applyFill="1" applyBorder="1" applyAlignment="1">
      <alignment horizontal="center" vertical="center" wrapText="1"/>
    </xf>
    <xf numFmtId="0" fontId="19" fillId="12" borderId="3" xfId="2" applyFont="1" applyFill="1" applyBorder="1" applyAlignment="1">
      <alignment horizontal="center" vertical="center" wrapText="1"/>
    </xf>
    <xf numFmtId="0" fontId="8" fillId="18" borderId="3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9" fillId="23" borderId="0" xfId="2" applyFill="1"/>
    <xf numFmtId="0" fontId="19" fillId="18" borderId="3" xfId="2" applyFont="1" applyFill="1" applyBorder="1" applyAlignment="1">
      <alignment horizontal="center" vertical="center" wrapText="1"/>
    </xf>
    <xf numFmtId="2" fontId="9" fillId="0" borderId="0" xfId="2" applyNumberFormat="1"/>
    <xf numFmtId="2" fontId="19" fillId="0" borderId="0" xfId="2" applyNumberFormat="1" applyFont="1"/>
    <xf numFmtId="2" fontId="6" fillId="0" borderId="0" xfId="2" applyNumberFormat="1" applyFont="1"/>
    <xf numFmtId="0" fontId="9" fillId="0" borderId="9" xfId="2" applyBorder="1"/>
    <xf numFmtId="0" fontId="11" fillId="0" borderId="10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6" fillId="0" borderId="12" xfId="2" applyFont="1" applyBorder="1"/>
    <xf numFmtId="2" fontId="9" fillId="0" borderId="0" xfId="2" applyNumberFormat="1" applyBorder="1" applyAlignment="1">
      <alignment horizontal="center"/>
    </xf>
    <xf numFmtId="0" fontId="9" fillId="0" borderId="0" xfId="2" applyBorder="1" applyAlignment="1">
      <alignment horizontal="center"/>
    </xf>
    <xf numFmtId="2" fontId="9" fillId="0" borderId="13" xfId="2" applyNumberFormat="1" applyBorder="1" applyAlignment="1">
      <alignment horizontal="center"/>
    </xf>
    <xf numFmtId="0" fontId="6" fillId="0" borderId="14" xfId="2" applyFont="1" applyBorder="1"/>
    <xf numFmtId="2" fontId="9" fillId="0" borderId="15" xfId="2" applyNumberFormat="1" applyBorder="1" applyAlignment="1">
      <alignment horizontal="center"/>
    </xf>
    <xf numFmtId="0" fontId="9" fillId="0" borderId="15" xfId="2" applyBorder="1" applyAlignment="1">
      <alignment horizontal="center"/>
    </xf>
    <xf numFmtId="2" fontId="9" fillId="0" borderId="16" xfId="2" applyNumberForma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7.9407198110790334E-2"/>
                  <c:y val="-4.735013123359591E-2"/>
                </c:manualLayout>
              </c:layout>
              <c:numFmt formatCode="General" sourceLinked="0"/>
            </c:trendlineLbl>
          </c:trendline>
          <c:xVal>
            <c:numRef>
              <c:f>'[2]Plasma càlculs'!$B$5:$B$10</c:f>
              <c:numCache>
                <c:formatCode>General</c:formatCode>
                <c:ptCount val="6"/>
                <c:pt idx="0">
                  <c:v>0</c:v>
                </c:pt>
                <c:pt idx="1">
                  <c:v>0.68700000000000006</c:v>
                </c:pt>
                <c:pt idx="2">
                  <c:v>1.37</c:v>
                </c:pt>
                <c:pt idx="3">
                  <c:v>2.75</c:v>
                </c:pt>
                <c:pt idx="4">
                  <c:v>5.5</c:v>
                </c:pt>
                <c:pt idx="5">
                  <c:v>11</c:v>
                </c:pt>
              </c:numCache>
            </c:numRef>
          </c:xVal>
          <c:yVal>
            <c:numRef>
              <c:f>'[2]Plasma càlculs'!$G$5:$G$10</c:f>
              <c:numCache>
                <c:formatCode>General</c:formatCode>
                <c:ptCount val="6"/>
                <c:pt idx="0">
                  <c:v>0</c:v>
                </c:pt>
                <c:pt idx="1">
                  <c:v>5.5000000000000007E-2</c:v>
                </c:pt>
                <c:pt idx="2">
                  <c:v>0.111</c:v>
                </c:pt>
                <c:pt idx="3">
                  <c:v>0.21899999999999997</c:v>
                </c:pt>
                <c:pt idx="4">
                  <c:v>0.4395</c:v>
                </c:pt>
                <c:pt idx="5">
                  <c:v>0.85799999999999998</c:v>
                </c:pt>
              </c:numCache>
            </c:numRef>
          </c:yVal>
        </c:ser>
        <c:axId val="66095360"/>
        <c:axId val="66105344"/>
      </c:scatterChart>
      <c:valAx>
        <c:axId val="66095360"/>
        <c:scaling>
          <c:orientation val="minMax"/>
        </c:scaling>
        <c:axPos val="b"/>
        <c:numFmt formatCode="General" sourceLinked="1"/>
        <c:tickLblPos val="nextTo"/>
        <c:crossAx val="66105344"/>
        <c:crosses val="autoZero"/>
        <c:crossBetween val="midCat"/>
      </c:valAx>
      <c:valAx>
        <c:axId val="66105344"/>
        <c:scaling>
          <c:orientation val="minMax"/>
        </c:scaling>
        <c:axPos val="l"/>
        <c:majorGridlines/>
        <c:numFmt formatCode="General" sourceLinked="1"/>
        <c:tickLblPos val="nextTo"/>
        <c:crossAx val="66095360"/>
        <c:crosses val="autoZero"/>
        <c:crossBetween val="midCat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plotArea>
      <c:layout/>
      <c:scatterChart>
        <c:scatterStyle val="lineMarker"/>
        <c:ser>
          <c:idx val="0"/>
          <c:order val="0"/>
          <c:tx>
            <c:v>Patró NEFA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7.3416010498687734E-2"/>
                  <c:y val="0.1944229500258724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</c:trendlineLbl>
          </c:trendline>
          <c:xVal>
            <c:numRef>
              <c:f>[1]Càlcul!$A$4:$A$9</c:f>
              <c:numCache>
                <c:formatCode>General</c:formatCode>
                <c:ptCount val="6"/>
                <c:pt idx="0">
                  <c:v>0</c:v>
                </c:pt>
                <c:pt idx="1">
                  <c:v>0.06</c:v>
                </c:pt>
                <c:pt idx="2">
                  <c:v>0.125</c:v>
                </c:pt>
                <c:pt idx="3">
                  <c:v>0.25</c:v>
                </c:pt>
                <c:pt idx="4">
                  <c:v>0.5</c:v>
                </c:pt>
                <c:pt idx="5">
                  <c:v>1</c:v>
                </c:pt>
              </c:numCache>
            </c:numRef>
          </c:xVal>
          <c:yVal>
            <c:numRef>
              <c:f>[1]Càlcul!$I$4:$I$9</c:f>
              <c:numCache>
                <c:formatCode>General</c:formatCode>
                <c:ptCount val="6"/>
                <c:pt idx="0">
                  <c:v>0</c:v>
                </c:pt>
                <c:pt idx="1">
                  <c:v>1.0499999999999989E-2</c:v>
                </c:pt>
                <c:pt idx="2">
                  <c:v>2.5499999999999995E-2</c:v>
                </c:pt>
                <c:pt idx="3">
                  <c:v>5.1999999999999984E-2</c:v>
                </c:pt>
                <c:pt idx="4">
                  <c:v>9.4E-2</c:v>
                </c:pt>
                <c:pt idx="5">
                  <c:v>0.22650000000000001</c:v>
                </c:pt>
              </c:numCache>
            </c:numRef>
          </c:yVal>
        </c:ser>
        <c:axId val="65825792"/>
        <c:axId val="65832064"/>
      </c:scatterChart>
      <c:valAx>
        <c:axId val="65825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[NEFA] (mM)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5832064"/>
        <c:crosses val="autoZero"/>
        <c:crossBetween val="midCat"/>
      </c:valAx>
      <c:valAx>
        <c:axId val="6583206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Abs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5825792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8.741907261592298E-2"/>
          <c:y val="3.7511665208515628E-2"/>
          <c:w val="0.86794903762029874"/>
          <c:h val="0.8971988918051914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Eq val="1"/>
            <c:trendlineLbl>
              <c:layout/>
              <c:numFmt formatCode="General" sourceLinked="0"/>
            </c:trendlineLbl>
          </c:trendline>
          <c:trendline>
            <c:trendlineType val="linear"/>
            <c:dispRSqr val="1"/>
            <c:dispEq val="1"/>
            <c:trendlineLbl>
              <c:layout>
                <c:manualLayout>
                  <c:x val="-7.5862642169728836E-2"/>
                  <c:y val="-8.5137066200058328E-2"/>
                </c:manualLayout>
              </c:layout>
              <c:numFmt formatCode="General" sourceLinked="0"/>
            </c:trendlineLbl>
          </c:trendline>
          <c:xVal>
            <c:numRef>
              <c:f>'Proteina CKHPHL'!$C$2:$E$2</c:f>
              <c:numCache>
                <c:formatCode>General</c:formatCode>
                <c:ptCount val="3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</c:numCache>
            </c:numRef>
          </c:xVal>
          <c:yVal>
            <c:numRef>
              <c:f>'Proteina CKHPHL'!$C$6:$E$6</c:f>
              <c:numCache>
                <c:formatCode>General</c:formatCode>
                <c:ptCount val="3"/>
                <c:pt idx="0">
                  <c:v>0</c:v>
                </c:pt>
                <c:pt idx="1">
                  <c:v>1.4885000000000002</c:v>
                </c:pt>
                <c:pt idx="2">
                  <c:v>1.736</c:v>
                </c:pt>
              </c:numCache>
            </c:numRef>
          </c:yVal>
        </c:ser>
        <c:axId val="115551616"/>
        <c:axId val="115936640"/>
      </c:scatterChart>
      <c:valAx>
        <c:axId val="115551616"/>
        <c:scaling>
          <c:orientation val="minMax"/>
        </c:scaling>
        <c:axPos val="b"/>
        <c:numFmt formatCode="General" sourceLinked="1"/>
        <c:tickLblPos val="nextTo"/>
        <c:crossAx val="115936640"/>
        <c:crosses val="autoZero"/>
        <c:crossBetween val="midCat"/>
      </c:valAx>
      <c:valAx>
        <c:axId val="115936640"/>
        <c:scaling>
          <c:orientation val="minMax"/>
        </c:scaling>
        <c:axPos val="l"/>
        <c:majorGridlines/>
        <c:numFmt formatCode="General" sourceLinked="1"/>
        <c:tickLblPos val="nextTo"/>
        <c:crossAx val="115551616"/>
        <c:crosses val="autoZero"/>
        <c:crossBetween val="midCat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5.0412835086261772E-2"/>
                  <c:y val="-2.4751249985154614E-2"/>
                </c:manualLayout>
              </c:layout>
              <c:numFmt formatCode="General" sourceLinked="0"/>
            </c:trendlineLbl>
          </c:trendline>
          <c:xVal>
            <c:numRef>
              <c:f>'[3]Glucosa mM'!$A$4:$A$9</c:f>
              <c:numCache>
                <c:formatCode>General</c:formatCode>
                <c:ptCount val="6"/>
                <c:pt idx="0">
                  <c:v>0</c:v>
                </c:pt>
                <c:pt idx="1">
                  <c:v>0.6</c:v>
                </c:pt>
                <c:pt idx="2">
                  <c:v>1.3</c:v>
                </c:pt>
                <c:pt idx="3">
                  <c:v>2.75</c:v>
                </c:pt>
                <c:pt idx="4">
                  <c:v>5</c:v>
                </c:pt>
                <c:pt idx="5">
                  <c:v>11</c:v>
                </c:pt>
              </c:numCache>
            </c:numRef>
          </c:xVal>
          <c:yVal>
            <c:numRef>
              <c:f>'[3]Glucosa mM'!$F$4:$F$9</c:f>
              <c:numCache>
                <c:formatCode>General</c:formatCode>
                <c:ptCount val="6"/>
                <c:pt idx="0">
                  <c:v>0</c:v>
                </c:pt>
                <c:pt idx="1">
                  <c:v>5.5333333333333332E-2</c:v>
                </c:pt>
                <c:pt idx="2">
                  <c:v>9.8333333333333342E-2</c:v>
                </c:pt>
                <c:pt idx="3">
                  <c:v>0.20599999999999996</c:v>
                </c:pt>
                <c:pt idx="4">
                  <c:v>0.42266666666666658</c:v>
                </c:pt>
                <c:pt idx="5">
                  <c:v>0.81100000000000005</c:v>
                </c:pt>
              </c:numCache>
            </c:numRef>
          </c:yVal>
        </c:ser>
        <c:axId val="75116928"/>
        <c:axId val="75118464"/>
      </c:scatterChart>
      <c:valAx>
        <c:axId val="75116928"/>
        <c:scaling>
          <c:orientation val="minMax"/>
        </c:scaling>
        <c:axPos val="b"/>
        <c:numFmt formatCode="General" sourceLinked="1"/>
        <c:tickLblPos val="nextTo"/>
        <c:crossAx val="75118464"/>
        <c:crosses val="autoZero"/>
        <c:crossBetween val="midCat"/>
      </c:valAx>
      <c:valAx>
        <c:axId val="75118464"/>
        <c:scaling>
          <c:orientation val="minMax"/>
        </c:scaling>
        <c:axPos val="l"/>
        <c:majorGridlines/>
        <c:numFmt formatCode="General" sourceLinked="1"/>
        <c:tickLblPos val="nextTo"/>
        <c:crossAx val="75116928"/>
        <c:crosses val="autoZero"/>
        <c:crossBetween val="midCat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plotArea>
      <c:layout/>
      <c:scatterChart>
        <c:scatterStyle val="lineMarker"/>
        <c:ser>
          <c:idx val="0"/>
          <c:order val="0"/>
          <c:tx>
            <c:v>Patró lactat 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9052300740888387"/>
                  <c:y val="-6.238872202830323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</c:trendlineLbl>
          </c:trendline>
          <c:xVal>
            <c:numRef>
              <c:f>[4]Hoja1!$A$3:$A$7</c:f>
              <c:numCache>
                <c:formatCode>General</c:formatCode>
                <c:ptCount val="5"/>
                <c:pt idx="0">
                  <c:v>0</c:v>
                </c:pt>
                <c:pt idx="1">
                  <c:v>0.1404</c:v>
                </c:pt>
                <c:pt idx="2">
                  <c:v>0.28100000000000003</c:v>
                </c:pt>
                <c:pt idx="3">
                  <c:v>0.5615</c:v>
                </c:pt>
                <c:pt idx="4">
                  <c:v>1.123</c:v>
                </c:pt>
              </c:numCache>
            </c:numRef>
          </c:xVal>
          <c:yVal>
            <c:numRef>
              <c:f>[4]Hoja1!$E$3:$E$7</c:f>
              <c:numCache>
                <c:formatCode>General</c:formatCode>
                <c:ptCount val="5"/>
                <c:pt idx="0">
                  <c:v>0</c:v>
                </c:pt>
                <c:pt idx="1">
                  <c:v>9.4999999999999987E-2</c:v>
                </c:pt>
                <c:pt idx="2">
                  <c:v>0.20750000000000002</c:v>
                </c:pt>
                <c:pt idx="3">
                  <c:v>0.47650000000000003</c:v>
                </c:pt>
                <c:pt idx="4">
                  <c:v>1.1824999999999999</c:v>
                </c:pt>
              </c:numCache>
            </c:numRef>
          </c:yVal>
        </c:ser>
        <c:axId val="68018176"/>
        <c:axId val="68020096"/>
      </c:scatterChart>
      <c:valAx>
        <c:axId val="68018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mM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8020096"/>
        <c:crosses val="autoZero"/>
        <c:crossBetween val="midCat"/>
      </c:valAx>
      <c:valAx>
        <c:axId val="6802009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Abs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8018176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plotArea>
      <c:layout/>
      <c:scatterChart>
        <c:scatterStyle val="lineMarker"/>
        <c:ser>
          <c:idx val="0"/>
          <c:order val="0"/>
          <c:tx>
            <c:v>Patró lactat 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9052300740888392"/>
                  <c:y val="-6.2388722028303201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</c:trendlineLbl>
          </c:trendline>
          <c:xVal>
            <c:numRef>
              <c:f>'Lactat HP i HL'!$A$3:$A$7</c:f>
              <c:numCache>
                <c:formatCode>General</c:formatCode>
                <c:ptCount val="5"/>
                <c:pt idx="0">
                  <c:v>0</c:v>
                </c:pt>
                <c:pt idx="1">
                  <c:v>0.1404</c:v>
                </c:pt>
                <c:pt idx="2">
                  <c:v>0.28100000000000003</c:v>
                </c:pt>
                <c:pt idx="3">
                  <c:v>0.5615</c:v>
                </c:pt>
                <c:pt idx="4">
                  <c:v>1.123</c:v>
                </c:pt>
              </c:numCache>
            </c:numRef>
          </c:xVal>
          <c:yVal>
            <c:numRef>
              <c:f>'Lactat HP i HL'!$E$3:$E$7</c:f>
              <c:numCache>
                <c:formatCode>0.000</c:formatCode>
                <c:ptCount val="5"/>
                <c:pt idx="0">
                  <c:v>0</c:v>
                </c:pt>
                <c:pt idx="1">
                  <c:v>0.1085</c:v>
                </c:pt>
                <c:pt idx="2">
                  <c:v>0.16399999999999998</c:v>
                </c:pt>
                <c:pt idx="3">
                  <c:v>0.32850000000000001</c:v>
                </c:pt>
                <c:pt idx="4">
                  <c:v>0.59</c:v>
                </c:pt>
              </c:numCache>
            </c:numRef>
          </c:yVal>
        </c:ser>
        <c:axId val="90287104"/>
        <c:axId val="90297472"/>
      </c:scatterChart>
      <c:valAx>
        <c:axId val="90287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mM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0297472"/>
        <c:crosses val="autoZero"/>
        <c:crossBetween val="midCat"/>
      </c:valAx>
      <c:valAx>
        <c:axId val="9029747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Abs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0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0287104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8130303332336639"/>
          <c:y val="0.20417828505381783"/>
          <c:w val="0.73570603674540747"/>
          <c:h val="0.6934951881014876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24265769903762041"/>
                  <c:y val="-0.20417833187518244"/>
                </c:manualLayout>
              </c:layout>
              <c:numFmt formatCode="General" sourceLinked="0"/>
            </c:trendlineLbl>
          </c:trendline>
          <c:xVal>
            <c:numRef>
              <c:f>'Colesterol C K'!$A$6:$A$10</c:f>
              <c:numCache>
                <c:formatCode>General</c:formatCode>
                <c:ptCount val="5"/>
                <c:pt idx="0">
                  <c:v>0</c:v>
                </c:pt>
                <c:pt idx="1">
                  <c:v>0.65</c:v>
                </c:pt>
                <c:pt idx="2">
                  <c:v>1.29</c:v>
                </c:pt>
                <c:pt idx="3">
                  <c:v>2.59</c:v>
                </c:pt>
                <c:pt idx="4">
                  <c:v>5.18</c:v>
                </c:pt>
              </c:numCache>
            </c:numRef>
          </c:xVal>
          <c:yVal>
            <c:numRef>
              <c:f>'Colesterol C K'!$E$6:$E$10</c:f>
              <c:numCache>
                <c:formatCode>0.000</c:formatCode>
                <c:ptCount val="5"/>
                <c:pt idx="0">
                  <c:v>0</c:v>
                </c:pt>
                <c:pt idx="1">
                  <c:v>4.1500000000000009E-2</c:v>
                </c:pt>
                <c:pt idx="2">
                  <c:v>9.4E-2</c:v>
                </c:pt>
                <c:pt idx="3">
                  <c:v>0.22250000000000003</c:v>
                </c:pt>
                <c:pt idx="4">
                  <c:v>0.44299999999999995</c:v>
                </c:pt>
              </c:numCache>
            </c:numRef>
          </c:yVal>
        </c:ser>
        <c:axId val="92957696"/>
        <c:axId val="92963968"/>
      </c:scatterChart>
      <c:valAx>
        <c:axId val="92957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</a:t>
                </a:r>
              </a:p>
            </c:rich>
          </c:tx>
          <c:layout/>
        </c:title>
        <c:numFmt formatCode="General" sourceLinked="1"/>
        <c:tickLblPos val="nextTo"/>
        <c:crossAx val="92963968"/>
        <c:crosses val="autoZero"/>
        <c:crossBetween val="midCat"/>
      </c:valAx>
      <c:valAx>
        <c:axId val="929639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Abs 490 nm</a:t>
                </a:r>
              </a:p>
            </c:rich>
          </c:tx>
          <c:layout/>
        </c:title>
        <c:numFmt formatCode="0.000" sourceLinked="1"/>
        <c:tickLblPos val="nextTo"/>
        <c:crossAx val="92957696"/>
        <c:crosses val="autoZero"/>
        <c:crossBetween val="midCat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8183646067377829"/>
          <c:y val="0.19728152833354812"/>
          <c:w val="0.6106743854961576"/>
          <c:h val="0.5979049954821220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29003987612088378"/>
                  <c:y val="-0.22102706423992083"/>
                </c:manualLayout>
              </c:layout>
              <c:numFmt formatCode="General" sourceLinked="0"/>
            </c:trendlineLbl>
          </c:trendline>
          <c:xVal>
            <c:numRef>
              <c:f>[5]Hoja1!$A$5:$A$8</c:f>
              <c:numCache>
                <c:formatCode>General</c:formatCode>
                <c:ptCount val="4"/>
                <c:pt idx="0">
                  <c:v>0.65</c:v>
                </c:pt>
                <c:pt idx="1">
                  <c:v>1.29</c:v>
                </c:pt>
                <c:pt idx="2">
                  <c:v>2.59</c:v>
                </c:pt>
                <c:pt idx="3">
                  <c:v>5.18</c:v>
                </c:pt>
              </c:numCache>
            </c:numRef>
          </c:xVal>
          <c:yVal>
            <c:numRef>
              <c:f>[5]Hoja1!$E$5:$E$8</c:f>
              <c:numCache>
                <c:formatCode>General</c:formatCode>
                <c:ptCount val="4"/>
                <c:pt idx="0">
                  <c:v>3.7500000000000006E-2</c:v>
                </c:pt>
                <c:pt idx="1">
                  <c:v>9.5500000000000002E-2</c:v>
                </c:pt>
                <c:pt idx="2">
                  <c:v>0.20150000000000001</c:v>
                </c:pt>
                <c:pt idx="3">
                  <c:v>0.48100000000000004</c:v>
                </c:pt>
              </c:numCache>
            </c:numRef>
          </c:yVal>
        </c:ser>
        <c:axId val="109995520"/>
        <c:axId val="109997440"/>
      </c:scatterChart>
      <c:valAx>
        <c:axId val="109995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</a:t>
                </a:r>
              </a:p>
            </c:rich>
          </c:tx>
          <c:layout/>
        </c:title>
        <c:numFmt formatCode="General" sourceLinked="1"/>
        <c:tickLblPos val="nextTo"/>
        <c:crossAx val="109997440"/>
        <c:crosses val="autoZero"/>
        <c:crossBetween val="midCat"/>
      </c:valAx>
      <c:valAx>
        <c:axId val="109997440"/>
        <c:scaling>
          <c:orientation val="minMax"/>
        </c:scaling>
        <c:axPos val="l"/>
        <c:majorGridlines/>
        <c:numFmt formatCode="General" sourceLinked="1"/>
        <c:tickLblPos val="nextTo"/>
        <c:crossAx val="109995520"/>
        <c:crosses val="autoZero"/>
        <c:crossBetween val="midCat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TAG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6702200686452656"/>
          <c:y val="0.16784880055931889"/>
          <c:w val="0.66543685645063666"/>
          <c:h val="0.7075716627124665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23022107813446396"/>
                  <c:y val="-0.2027832983759127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</c:trendlineLbl>
          </c:trendline>
          <c:xVal>
            <c:numRef>
              <c:f>'[6]C vs. K'!$A$4:$A$8</c:f>
              <c:numCache>
                <c:formatCode>General</c:formatCode>
                <c:ptCount val="5"/>
                <c:pt idx="0">
                  <c:v>0</c:v>
                </c:pt>
                <c:pt idx="1">
                  <c:v>0.28000000000000003</c:v>
                </c:pt>
                <c:pt idx="2">
                  <c:v>0.56000000000000005</c:v>
                </c:pt>
                <c:pt idx="3">
                  <c:v>1.1299999999999999</c:v>
                </c:pt>
                <c:pt idx="4">
                  <c:v>2.2599999999999998</c:v>
                </c:pt>
              </c:numCache>
            </c:numRef>
          </c:xVal>
          <c:yVal>
            <c:numRef>
              <c:f>'[6]C vs. K'!$E$4:$E$8</c:f>
              <c:numCache>
                <c:formatCode>General</c:formatCode>
                <c:ptCount val="5"/>
                <c:pt idx="0">
                  <c:v>0</c:v>
                </c:pt>
                <c:pt idx="1">
                  <c:v>4.1000000000000009E-2</c:v>
                </c:pt>
                <c:pt idx="2">
                  <c:v>9.4500000000000001E-2</c:v>
                </c:pt>
                <c:pt idx="3">
                  <c:v>0.183</c:v>
                </c:pt>
                <c:pt idx="4">
                  <c:v>0.41450000000000004</c:v>
                </c:pt>
              </c:numCache>
            </c:numRef>
          </c:yVal>
        </c:ser>
        <c:axId val="65947904"/>
        <c:axId val="65982464"/>
      </c:scatterChart>
      <c:valAx>
        <c:axId val="6594790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5982464"/>
        <c:crosses val="autoZero"/>
        <c:crossBetween val="midCat"/>
      </c:valAx>
      <c:valAx>
        <c:axId val="6598246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5947904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TAG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9017950342414083"/>
          <c:y val="0.21042574497464925"/>
          <c:w val="0.67120603674540713"/>
          <c:h val="0.6084102508019831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23226881014873141"/>
                  <c:y val="-0.208807961504811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</c:trendlineLbl>
          </c:trendline>
          <c:xVal>
            <c:numRef>
              <c:f>'TAG HP i HL'!$A$5:$A$9</c:f>
              <c:numCache>
                <c:formatCode>General</c:formatCode>
                <c:ptCount val="5"/>
                <c:pt idx="0">
                  <c:v>0</c:v>
                </c:pt>
                <c:pt idx="1">
                  <c:v>0.37</c:v>
                </c:pt>
                <c:pt idx="2">
                  <c:v>0.56000000000000005</c:v>
                </c:pt>
                <c:pt idx="3">
                  <c:v>1.1299999999999999</c:v>
                </c:pt>
                <c:pt idx="4">
                  <c:v>2.2599999999999998</c:v>
                </c:pt>
              </c:numCache>
            </c:numRef>
          </c:xVal>
          <c:yVal>
            <c:numRef>
              <c:f>'TAG HP i HL'!$E$5:$E$9</c:f>
              <c:numCache>
                <c:formatCode>0.000</c:formatCode>
                <c:ptCount val="5"/>
                <c:pt idx="0">
                  <c:v>0</c:v>
                </c:pt>
                <c:pt idx="1">
                  <c:v>4.9499999999999988E-2</c:v>
                </c:pt>
                <c:pt idx="2">
                  <c:v>9.4E-2</c:v>
                </c:pt>
                <c:pt idx="3">
                  <c:v>0.19399999999999998</c:v>
                </c:pt>
                <c:pt idx="4">
                  <c:v>0.33150000000000002</c:v>
                </c:pt>
              </c:numCache>
            </c:numRef>
          </c:yVal>
        </c:ser>
        <c:axId val="115032448"/>
        <c:axId val="115034368"/>
      </c:scatterChart>
      <c:valAx>
        <c:axId val="115032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mM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5034368"/>
        <c:crosses val="autoZero"/>
        <c:crossBetween val="midCat"/>
      </c:valAx>
      <c:valAx>
        <c:axId val="1150343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Abs 490nm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5032448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plotArea>
      <c:layout/>
      <c:scatterChart>
        <c:scatterStyle val="lineMarker"/>
        <c:ser>
          <c:idx val="0"/>
          <c:order val="0"/>
          <c:tx>
            <c:v>Patró NEFA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7.3416010498687706E-2"/>
                  <c:y val="0.1944229500258724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</c:trendlineLbl>
          </c:trendline>
          <c:xVal>
            <c:numRef>
              <c:f>'NEFA C i K'!$A$4:$A$9</c:f>
              <c:numCache>
                <c:formatCode>General</c:formatCode>
                <c:ptCount val="6"/>
                <c:pt idx="0">
                  <c:v>0</c:v>
                </c:pt>
                <c:pt idx="1">
                  <c:v>0.06</c:v>
                </c:pt>
                <c:pt idx="2">
                  <c:v>0.125</c:v>
                </c:pt>
                <c:pt idx="3">
                  <c:v>0.25</c:v>
                </c:pt>
                <c:pt idx="4">
                  <c:v>0.5</c:v>
                </c:pt>
                <c:pt idx="5">
                  <c:v>1</c:v>
                </c:pt>
              </c:numCache>
            </c:numRef>
          </c:xVal>
          <c:yVal>
            <c:numRef>
              <c:f>'NEFA C i K'!$I$4:$I$9</c:f>
              <c:numCache>
                <c:formatCode>General</c:formatCode>
                <c:ptCount val="6"/>
                <c:pt idx="0">
                  <c:v>0</c:v>
                </c:pt>
                <c:pt idx="1">
                  <c:v>5.5000000000000049E-3</c:v>
                </c:pt>
                <c:pt idx="2">
                  <c:v>1.9999999999999997E-2</c:v>
                </c:pt>
                <c:pt idx="3">
                  <c:v>3.9000000000000007E-2</c:v>
                </c:pt>
                <c:pt idx="4">
                  <c:v>7.6999999999999985E-2</c:v>
                </c:pt>
                <c:pt idx="5">
                  <c:v>0.17</c:v>
                </c:pt>
              </c:numCache>
            </c:numRef>
          </c:yVal>
        </c:ser>
        <c:axId val="44163840"/>
        <c:axId val="44165760"/>
      </c:scatterChart>
      <c:valAx>
        <c:axId val="44163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[NEFA] (mM)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4165760"/>
        <c:crosses val="autoZero"/>
        <c:crossBetween val="midCat"/>
      </c:valAx>
      <c:valAx>
        <c:axId val="4416576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Abs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4163840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66674</xdr:colOff>
      <xdr:row>1</xdr:row>
      <xdr:rowOff>0</xdr:rowOff>
    </xdr:from>
    <xdr:to>
      <xdr:col>12</xdr:col>
      <xdr:colOff>628649</xdr:colOff>
      <xdr:row>11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209550</xdr:colOff>
      <xdr:row>0</xdr:row>
      <xdr:rowOff>85725</xdr:rowOff>
    </xdr:from>
    <xdr:to>
      <xdr:col>21</xdr:col>
      <xdr:colOff>209550</xdr:colOff>
      <xdr:row>13</xdr:row>
      <xdr:rowOff>161925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514350</xdr:colOff>
      <xdr:row>0</xdr:row>
      <xdr:rowOff>66675</xdr:rowOff>
    </xdr:from>
    <xdr:to>
      <xdr:col>14</xdr:col>
      <xdr:colOff>438150</xdr:colOff>
      <xdr:row>5</xdr:row>
      <xdr:rowOff>28575</xdr:rowOff>
    </xdr:to>
    <xdr:sp macro="" textlink="">
      <xdr:nvSpPr>
        <xdr:cNvPr id="2" name="1 CuadroTexto"/>
        <xdr:cNvSpPr txBox="1"/>
      </xdr:nvSpPr>
      <xdr:spPr>
        <a:xfrm>
          <a:off x="8896350" y="66675"/>
          <a:ext cx="2209800" cy="77152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Biblio:</a:t>
          </a:r>
          <a:r>
            <a:rPr lang="es-ES" sz="1100" baseline="0"/>
            <a:t> rang 0,06-0,33 mM</a:t>
          </a:r>
        </a:p>
        <a:p>
          <a:r>
            <a:rPr lang="es-ES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DIABETES</a:t>
          </a:r>
        </a:p>
        <a:p>
          <a:r>
            <a:rPr lang="es-ES" sz="1100" b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26:100-12, February, 1976.</a:t>
          </a:r>
          <a:endParaRPr lang="es-E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0</xdr:row>
      <xdr:rowOff>66675</xdr:rowOff>
    </xdr:from>
    <xdr:to>
      <xdr:col>13</xdr:col>
      <xdr:colOff>438150</xdr:colOff>
      <xdr:row>5</xdr:row>
      <xdr:rowOff>28575</xdr:rowOff>
    </xdr:to>
    <xdr:sp macro="" textlink="">
      <xdr:nvSpPr>
        <xdr:cNvPr id="2" name="1 CuadroTexto"/>
        <xdr:cNvSpPr txBox="1"/>
      </xdr:nvSpPr>
      <xdr:spPr>
        <a:xfrm>
          <a:off x="8134350" y="66675"/>
          <a:ext cx="2209800" cy="77152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Biblio:</a:t>
          </a:r>
          <a:r>
            <a:rPr lang="es-ES" sz="1100" baseline="0"/>
            <a:t> rang 0,06-0,33 mM</a:t>
          </a:r>
        </a:p>
        <a:p>
          <a:r>
            <a:rPr lang="es-ES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DIABETES</a:t>
          </a:r>
        </a:p>
        <a:p>
          <a:r>
            <a:rPr lang="es-ES" sz="1100" b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26:100-12, February, 1976.</a:t>
          </a:r>
          <a:endParaRPr lang="es-E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390525</xdr:colOff>
      <xdr:row>0</xdr:row>
      <xdr:rowOff>133350</xdr:rowOff>
    </xdr:from>
    <xdr:to>
      <xdr:col>18</xdr:col>
      <xdr:colOff>276225</xdr:colOff>
      <xdr:row>11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695325</xdr:colOff>
      <xdr:row>0</xdr:row>
      <xdr:rowOff>76200</xdr:rowOff>
    </xdr:from>
    <xdr:to>
      <xdr:col>12</xdr:col>
      <xdr:colOff>95250</xdr:colOff>
      <xdr:row>11</xdr:row>
      <xdr:rowOff>85725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619125</xdr:colOff>
      <xdr:row>9</xdr:row>
      <xdr:rowOff>171450</xdr:rowOff>
    </xdr:from>
    <xdr:to>
      <xdr:col>2</xdr:col>
      <xdr:colOff>314325</xdr:colOff>
      <xdr:row>12</xdr:row>
      <xdr:rowOff>123825</xdr:rowOff>
    </xdr:to>
    <xdr:sp macro="" textlink="">
      <xdr:nvSpPr>
        <xdr:cNvPr id="3" name="2 CuadroTexto"/>
        <xdr:cNvSpPr txBox="1"/>
      </xdr:nvSpPr>
      <xdr:spPr>
        <a:xfrm>
          <a:off x="619125" y="1885950"/>
          <a:ext cx="12192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>
              <a:solidFill>
                <a:schemeClr val="accent5">
                  <a:lumMod val="75000"/>
                </a:schemeClr>
              </a:solidFill>
            </a:rPr>
            <a:t>Promig del grup</a:t>
          </a:r>
        </a:p>
        <a:p>
          <a:r>
            <a:rPr lang="es-ES" sz="1100">
              <a:solidFill>
                <a:srgbClr val="FF0000"/>
              </a:solidFill>
            </a:rPr>
            <a:t>Valor exclòs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200025</xdr:colOff>
      <xdr:row>0</xdr:row>
      <xdr:rowOff>9525</xdr:rowOff>
    </xdr:from>
    <xdr:to>
      <xdr:col>16</xdr:col>
      <xdr:colOff>152400</xdr:colOff>
      <xdr:row>11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200025</xdr:colOff>
      <xdr:row>0</xdr:row>
      <xdr:rowOff>9525</xdr:rowOff>
    </xdr:from>
    <xdr:to>
      <xdr:col>16</xdr:col>
      <xdr:colOff>152400</xdr:colOff>
      <xdr:row>11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685800</xdr:colOff>
      <xdr:row>0</xdr:row>
      <xdr:rowOff>9525</xdr:rowOff>
    </xdr:from>
    <xdr:to>
      <xdr:col>15</xdr:col>
      <xdr:colOff>638175</xdr:colOff>
      <xdr:row>10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200025</xdr:colOff>
      <xdr:row>2</xdr:row>
      <xdr:rowOff>38100</xdr:rowOff>
    </xdr:from>
    <xdr:to>
      <xdr:col>16</xdr:col>
      <xdr:colOff>95250</xdr:colOff>
      <xdr:row>16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0</xdr:row>
      <xdr:rowOff>0</xdr:rowOff>
    </xdr:from>
    <xdr:to>
      <xdr:col>15</xdr:col>
      <xdr:colOff>523875</xdr:colOff>
      <xdr:row>13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57150</xdr:rowOff>
    </xdr:from>
    <xdr:to>
      <xdr:col>16</xdr:col>
      <xdr:colOff>66675</xdr:colOff>
      <xdr:row>15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209550</xdr:colOff>
      <xdr:row>0</xdr:row>
      <xdr:rowOff>85725</xdr:rowOff>
    </xdr:from>
    <xdr:to>
      <xdr:col>21</xdr:col>
      <xdr:colOff>209550</xdr:colOff>
      <xdr:row>13</xdr:row>
      <xdr:rowOff>161925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+CKHPHL/Plasma/NEFA%20HP%20HL_201406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utarotasa/Glucosa%20Plasma%20Sang%20Mutarotasa%20CK_201502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+CKHPHL/Plasma/Glucosa%20HPHL%2030_20150302%20(TEST%20CHI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+CKHPHL/Plasma/Lactat%20C,K,16%20I%2030%20+test%20chi_201407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+CKHPHL/Plasma/Colesterol%20HP%20vs%20HL_201404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+CKHPHL/Plasma/TAG%20C,K+%20test%20chi_2014042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"/>
      <sheetName val="Càlcul"/>
      <sheetName val="Hoja3"/>
    </sheetNames>
    <sheetDataSet>
      <sheetData sheetId="0"/>
      <sheetData sheetId="1">
        <row r="4">
          <cell r="A4">
            <v>0</v>
          </cell>
          <cell r="I4">
            <v>0</v>
          </cell>
        </row>
        <row r="5">
          <cell r="A5">
            <v>0.06</v>
          </cell>
          <cell r="I5">
            <v>1.0499999999999989E-2</v>
          </cell>
        </row>
        <row r="6">
          <cell r="A6">
            <v>0.125</v>
          </cell>
          <cell r="I6">
            <v>2.5499999999999995E-2</v>
          </cell>
        </row>
        <row r="7">
          <cell r="A7">
            <v>0.25</v>
          </cell>
          <cell r="I7">
            <v>5.1999999999999984E-2</v>
          </cell>
        </row>
        <row r="8">
          <cell r="A8">
            <v>0.5</v>
          </cell>
          <cell r="I8">
            <v>9.4E-2</v>
          </cell>
        </row>
        <row r="9">
          <cell r="A9">
            <v>1</v>
          </cell>
          <cell r="I9">
            <v>0.22650000000000001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 desprot Kinetic"/>
      <sheetName val="ST desprot Calculs"/>
      <sheetName val="Plasma Kinetic "/>
      <sheetName val="Plasma càlculs"/>
      <sheetName val="Cinéticas Plasma desprot"/>
      <sheetName val="Plasma desprot càlculs"/>
      <sheetName val="Gluc cèl Normal"/>
      <sheetName val="Gluc cel tot desprot"/>
      <sheetName val="Hoja1"/>
    </sheetNames>
    <sheetDataSet>
      <sheetData sheetId="0" refreshError="1"/>
      <sheetData sheetId="1" refreshError="1"/>
      <sheetData sheetId="2" refreshError="1"/>
      <sheetData sheetId="3">
        <row r="5">
          <cell r="B5">
            <v>0</v>
          </cell>
          <cell r="G5">
            <v>0</v>
          </cell>
        </row>
        <row r="6">
          <cell r="B6">
            <v>0.68700000000000006</v>
          </cell>
          <cell r="G6">
            <v>5.5000000000000007E-2</v>
          </cell>
        </row>
        <row r="7">
          <cell r="B7">
            <v>1.37</v>
          </cell>
          <cell r="G7">
            <v>0.111</v>
          </cell>
        </row>
        <row r="8">
          <cell r="B8">
            <v>2.75</v>
          </cell>
          <cell r="G8">
            <v>0.21899999999999997</v>
          </cell>
        </row>
        <row r="9">
          <cell r="B9">
            <v>5.5</v>
          </cell>
          <cell r="G9">
            <v>0.4395</v>
          </cell>
        </row>
        <row r="10">
          <cell r="B10">
            <v>11</v>
          </cell>
          <cell r="G10">
            <v>0.85799999999999998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inètica DO"/>
      <sheetName val="Glucosa mM"/>
      <sheetName val="Hoja3"/>
    </sheetNames>
    <sheetDataSet>
      <sheetData sheetId="0"/>
      <sheetData sheetId="1">
        <row r="4">
          <cell r="A4">
            <v>0</v>
          </cell>
          <cell r="F4">
            <v>0</v>
          </cell>
        </row>
        <row r="5">
          <cell r="A5">
            <v>0.6</v>
          </cell>
          <cell r="F5">
            <v>5.5333333333333332E-2</v>
          </cell>
        </row>
        <row r="6">
          <cell r="A6">
            <v>1.3</v>
          </cell>
          <cell r="F6">
            <v>9.8333333333333342E-2</v>
          </cell>
        </row>
        <row r="7">
          <cell r="A7">
            <v>2.75</v>
          </cell>
          <cell r="F7">
            <v>0.20599999999999996</v>
          </cell>
        </row>
        <row r="8">
          <cell r="A8">
            <v>5</v>
          </cell>
          <cell r="F8">
            <v>0.42266666666666658</v>
          </cell>
        </row>
        <row r="9">
          <cell r="A9">
            <v>11</v>
          </cell>
          <cell r="F9">
            <v>0.81100000000000005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late 1 - Sheet1"/>
      <sheetName val="Hoja1"/>
    </sheetNames>
    <sheetDataSet>
      <sheetData sheetId="0" refreshError="1"/>
      <sheetData sheetId="1">
        <row r="3">
          <cell r="A3">
            <v>0</v>
          </cell>
          <cell r="E3">
            <v>0</v>
          </cell>
        </row>
        <row r="4">
          <cell r="A4">
            <v>0.1404</v>
          </cell>
          <cell r="E4">
            <v>9.4999999999999987E-2</v>
          </cell>
        </row>
        <row r="5">
          <cell r="A5">
            <v>0.28100000000000003</v>
          </cell>
          <cell r="E5">
            <v>0.20750000000000002</v>
          </cell>
        </row>
        <row r="6">
          <cell r="A6">
            <v>0.5615</v>
          </cell>
          <cell r="E6">
            <v>0.47650000000000003</v>
          </cell>
        </row>
        <row r="7">
          <cell r="A7">
            <v>1.123</v>
          </cell>
          <cell r="E7">
            <v>1.1824999999999999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late 1 - Sheet1"/>
      <sheetName val="Hoja1"/>
    </sheetNames>
    <sheetDataSet>
      <sheetData sheetId="0" refreshError="1"/>
      <sheetData sheetId="1">
        <row r="5">
          <cell r="A5">
            <v>0.65</v>
          </cell>
          <cell r="E5">
            <v>3.7500000000000006E-2</v>
          </cell>
        </row>
        <row r="6">
          <cell r="A6">
            <v>1.29</v>
          </cell>
          <cell r="E6">
            <v>9.5500000000000002E-2</v>
          </cell>
        </row>
        <row r="7">
          <cell r="A7">
            <v>2.59</v>
          </cell>
          <cell r="E7">
            <v>0.20150000000000001</v>
          </cell>
        </row>
        <row r="8">
          <cell r="A8">
            <v>5.18</v>
          </cell>
          <cell r="E8">
            <v>0.48100000000000004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late 1 - Sheet1"/>
      <sheetName val="C vs. K"/>
    </sheetNames>
    <sheetDataSet>
      <sheetData sheetId="0" refreshError="1"/>
      <sheetData sheetId="1">
        <row r="4">
          <cell r="A4">
            <v>0</v>
          </cell>
          <cell r="E4">
            <v>0</v>
          </cell>
        </row>
        <row r="5">
          <cell r="A5">
            <v>0.28000000000000003</v>
          </cell>
          <cell r="E5">
            <v>4.1000000000000009E-2</v>
          </cell>
        </row>
        <row r="6">
          <cell r="A6">
            <v>0.56000000000000005</v>
          </cell>
          <cell r="E6">
            <v>9.4500000000000001E-2</v>
          </cell>
        </row>
        <row r="7">
          <cell r="A7">
            <v>1.1299999999999999</v>
          </cell>
          <cell r="E7">
            <v>0.183</v>
          </cell>
        </row>
        <row r="8">
          <cell r="A8">
            <v>2.2599999999999998</v>
          </cell>
          <cell r="E8">
            <v>0.41450000000000004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zoomScale="70" zoomScaleNormal="70" workbookViewId="0">
      <selection activeCell="P20" sqref="P20"/>
    </sheetView>
  </sheetViews>
  <sheetFormatPr baseColWidth="10" defaultRowHeight="15"/>
  <sheetData>
    <row r="1" spans="1:13">
      <c r="B1" s="74" t="s">
        <v>30</v>
      </c>
      <c r="C1" s="74"/>
      <c r="D1" s="74"/>
    </row>
    <row r="2" spans="1:13">
      <c r="B2" s="74"/>
      <c r="C2" s="74"/>
      <c r="D2" s="74"/>
    </row>
    <row r="4" spans="1:13">
      <c r="B4" t="s">
        <v>31</v>
      </c>
      <c r="F4" s="7" t="s">
        <v>32</v>
      </c>
      <c r="G4" t="s">
        <v>33</v>
      </c>
    </row>
    <row r="5" spans="1:13">
      <c r="B5" s="75">
        <v>0</v>
      </c>
      <c r="C5" s="76">
        <v>8.2000000000000003E-2</v>
      </c>
      <c r="D5" s="76">
        <v>8.1000000000000003E-2</v>
      </c>
      <c r="F5" s="77">
        <f>AVERAGE(C5:D5)</f>
        <v>8.1500000000000003E-2</v>
      </c>
      <c r="G5" s="77">
        <f>F5-$F$5</f>
        <v>0</v>
      </c>
    </row>
    <row r="6" spans="1:13">
      <c r="B6" s="75">
        <v>0.68700000000000006</v>
      </c>
      <c r="C6" s="76">
        <v>0.13600000000000001</v>
      </c>
      <c r="D6" s="76">
        <v>0.13700000000000001</v>
      </c>
      <c r="F6" s="77">
        <f t="shared" ref="F6:F10" si="0">AVERAGE(C6:D6)</f>
        <v>0.13650000000000001</v>
      </c>
      <c r="G6" s="77">
        <f t="shared" ref="G6:G10" si="1">F6-$F$5</f>
        <v>5.5000000000000007E-2</v>
      </c>
    </row>
    <row r="7" spans="1:13">
      <c r="B7" s="75">
        <v>1.37</v>
      </c>
      <c r="C7" s="76">
        <v>0.191</v>
      </c>
      <c r="D7" s="76">
        <v>0.19400000000000001</v>
      </c>
      <c r="F7" s="77">
        <f t="shared" si="0"/>
        <v>0.1925</v>
      </c>
      <c r="G7" s="77">
        <f t="shared" si="1"/>
        <v>0.111</v>
      </c>
    </row>
    <row r="8" spans="1:13">
      <c r="B8" s="75">
        <v>2.75</v>
      </c>
      <c r="C8" s="76">
        <v>0.29499999999999998</v>
      </c>
      <c r="D8" s="76">
        <v>0.30599999999999999</v>
      </c>
      <c r="F8" s="77">
        <f t="shared" si="0"/>
        <v>0.30049999999999999</v>
      </c>
      <c r="G8" s="77">
        <f t="shared" si="1"/>
        <v>0.21899999999999997</v>
      </c>
    </row>
    <row r="9" spans="1:13">
      <c r="B9" s="75">
        <v>5.5</v>
      </c>
      <c r="C9" s="76">
        <v>0.52100000000000002</v>
      </c>
      <c r="D9" s="76">
        <v>0.52100000000000002</v>
      </c>
      <c r="F9" s="77">
        <f t="shared" si="0"/>
        <v>0.52100000000000002</v>
      </c>
      <c r="G9" s="77">
        <f t="shared" si="1"/>
        <v>0.4395</v>
      </c>
    </row>
    <row r="10" spans="1:13">
      <c r="B10" s="75">
        <v>11</v>
      </c>
      <c r="C10" s="76">
        <v>0.94499999999999995</v>
      </c>
      <c r="D10" s="76">
        <v>0.93400000000000005</v>
      </c>
      <c r="F10" s="77">
        <f t="shared" si="0"/>
        <v>0.9395</v>
      </c>
      <c r="G10" s="77">
        <f t="shared" si="1"/>
        <v>0.85799999999999998</v>
      </c>
    </row>
    <row r="13" spans="1:13">
      <c r="H13" s="78" t="s">
        <v>34</v>
      </c>
      <c r="I13" s="78"/>
      <c r="J13" s="78"/>
      <c r="K13" s="79" t="s">
        <v>35</v>
      </c>
      <c r="L13" s="79"/>
    </row>
    <row r="14" spans="1:13">
      <c r="E14" s="7" t="s">
        <v>33</v>
      </c>
      <c r="F14" s="7" t="s">
        <v>36</v>
      </c>
      <c r="G14" s="7" t="s">
        <v>37</v>
      </c>
      <c r="H14" s="80" t="s">
        <v>32</v>
      </c>
      <c r="I14" s="81" t="s">
        <v>12</v>
      </c>
      <c r="J14" s="81" t="s">
        <v>38</v>
      </c>
      <c r="K14" s="80" t="s">
        <v>32</v>
      </c>
      <c r="L14" s="81" t="s">
        <v>12</v>
      </c>
      <c r="M14" s="81" t="s">
        <v>38</v>
      </c>
    </row>
    <row r="15" spans="1:13">
      <c r="A15" s="82" t="s">
        <v>39</v>
      </c>
      <c r="B15" s="75">
        <v>1</v>
      </c>
      <c r="C15" s="76">
        <v>0.55800000000000005</v>
      </c>
      <c r="E15" s="17">
        <f>C15-$F$5</f>
        <v>0.47650000000000003</v>
      </c>
      <c r="F15" s="17">
        <f>(E15-0.0033)/0.078</f>
        <v>6.0666666666666664</v>
      </c>
      <c r="G15" s="17">
        <f>F15*2</f>
        <v>12.133333333333333</v>
      </c>
      <c r="H15" s="83">
        <f>AVERAGE(G15:G20)</f>
        <v>10.705982905982905</v>
      </c>
      <c r="I15" s="83">
        <f>STDEV(G15:G20)/SQRT(6)</f>
        <v>0.63164648422085534</v>
      </c>
    </row>
    <row r="16" spans="1:13">
      <c r="A16" s="82"/>
      <c r="B16" s="75">
        <v>2</v>
      </c>
      <c r="C16" s="76">
        <v>0.41799999999999998</v>
      </c>
      <c r="E16" s="17">
        <f t="shared" ref="E16:E26" si="2">C16-$F$5</f>
        <v>0.33649999999999997</v>
      </c>
      <c r="F16" s="17">
        <f t="shared" ref="F16:F26" si="3">(E16-0.0033)/0.078</f>
        <v>4.2717948717948708</v>
      </c>
      <c r="G16" s="17">
        <f t="shared" ref="G16:G26" si="4">F16*2</f>
        <v>8.5435897435897417</v>
      </c>
      <c r="H16" s="83"/>
      <c r="I16" s="83"/>
    </row>
    <row r="17" spans="1:10">
      <c r="A17" s="82"/>
      <c r="B17" s="75">
        <v>3</v>
      </c>
      <c r="C17" s="76">
        <v>0.57199999999999995</v>
      </c>
      <c r="E17" s="17">
        <f t="shared" si="2"/>
        <v>0.49049999999999994</v>
      </c>
      <c r="F17" s="17">
        <f t="shared" si="3"/>
        <v>6.2461538461538453</v>
      </c>
      <c r="G17" s="17">
        <f t="shared" si="4"/>
        <v>12.492307692307691</v>
      </c>
      <c r="H17" s="83"/>
      <c r="I17" s="83"/>
    </row>
    <row r="18" spans="1:10">
      <c r="A18" s="82"/>
      <c r="B18" s="75">
        <v>4</v>
      </c>
      <c r="C18" s="76">
        <v>0.51900000000000002</v>
      </c>
      <c r="E18" s="17">
        <f t="shared" si="2"/>
        <v>0.4375</v>
      </c>
      <c r="F18" s="17">
        <f t="shared" si="3"/>
        <v>5.5666666666666664</v>
      </c>
      <c r="G18" s="17">
        <f t="shared" si="4"/>
        <v>11.133333333333333</v>
      </c>
      <c r="H18" s="83"/>
      <c r="I18" s="83"/>
    </row>
    <row r="19" spans="1:10">
      <c r="A19" s="82"/>
      <c r="B19" s="75">
        <v>5</v>
      </c>
      <c r="C19" s="76">
        <v>0.44900000000000001</v>
      </c>
      <c r="E19" s="17">
        <f t="shared" si="2"/>
        <v>0.36749999999999999</v>
      </c>
      <c r="F19" s="17">
        <f t="shared" si="3"/>
        <v>4.6692307692307686</v>
      </c>
      <c r="G19" s="17">
        <f t="shared" si="4"/>
        <v>9.3384615384615373</v>
      </c>
      <c r="H19" s="83"/>
      <c r="I19" s="83"/>
    </row>
    <row r="20" spans="1:10">
      <c r="A20" s="82"/>
      <c r="B20" s="75">
        <v>6</v>
      </c>
      <c r="C20" s="76">
        <v>0.498</v>
      </c>
      <c r="E20" s="17">
        <f t="shared" si="2"/>
        <v>0.41649999999999998</v>
      </c>
      <c r="F20" s="17">
        <f t="shared" si="3"/>
        <v>5.2974358974358973</v>
      </c>
      <c r="G20" s="17">
        <f t="shared" si="4"/>
        <v>10.594871794871795</v>
      </c>
      <c r="H20" s="83"/>
      <c r="I20" s="83"/>
      <c r="J20" s="84">
        <f>I15/H15*100</f>
        <v>5.8999392187322437</v>
      </c>
    </row>
    <row r="21" spans="1:10">
      <c r="A21" s="82" t="s">
        <v>40</v>
      </c>
      <c r="B21" s="75">
        <v>7</v>
      </c>
      <c r="C21" s="76">
        <v>0.53600000000000003</v>
      </c>
      <c r="E21" s="17">
        <f t="shared" si="2"/>
        <v>0.45450000000000002</v>
      </c>
      <c r="F21" s="17">
        <f t="shared" si="3"/>
        <v>5.7846153846153845</v>
      </c>
      <c r="G21" s="17">
        <f t="shared" si="4"/>
        <v>11.569230769230769</v>
      </c>
      <c r="H21" s="83">
        <f>AVERAGE(G21:G26)</f>
        <v>10.41111111111111</v>
      </c>
      <c r="I21" s="83">
        <f>STDEV(G21:G26)/SQRT(6)</f>
        <v>0.33191127739584003</v>
      </c>
    </row>
    <row r="22" spans="1:10">
      <c r="A22" s="82"/>
      <c r="B22" s="75">
        <v>8</v>
      </c>
      <c r="C22" s="76">
        <v>0.499</v>
      </c>
      <c r="E22" s="17">
        <f t="shared" si="2"/>
        <v>0.41749999999999998</v>
      </c>
      <c r="F22" s="17">
        <f t="shared" si="3"/>
        <v>5.31025641025641</v>
      </c>
      <c r="G22" s="17">
        <f t="shared" si="4"/>
        <v>10.62051282051282</v>
      </c>
      <c r="H22" s="83"/>
      <c r="I22" s="83"/>
    </row>
    <row r="23" spans="1:10">
      <c r="A23" s="82"/>
      <c r="B23" s="75">
        <v>9</v>
      </c>
      <c r="C23" s="76">
        <v>0.495</v>
      </c>
      <c r="E23" s="17">
        <f t="shared" si="2"/>
        <v>0.41349999999999998</v>
      </c>
      <c r="F23" s="17">
        <f t="shared" si="3"/>
        <v>5.2589743589743581</v>
      </c>
      <c r="G23" s="17">
        <f t="shared" si="4"/>
        <v>10.517948717948716</v>
      </c>
      <c r="H23" s="83"/>
      <c r="I23" s="83"/>
    </row>
    <row r="24" spans="1:10">
      <c r="A24" s="82"/>
      <c r="B24" s="75">
        <v>10</v>
      </c>
      <c r="C24" s="76">
        <v>0.502</v>
      </c>
      <c r="E24" s="17">
        <f t="shared" si="2"/>
        <v>0.42049999999999998</v>
      </c>
      <c r="F24" s="17">
        <f t="shared" si="3"/>
        <v>5.3487179487179484</v>
      </c>
      <c r="G24" s="17">
        <f t="shared" si="4"/>
        <v>10.697435897435897</v>
      </c>
      <c r="H24" s="83"/>
      <c r="I24" s="83"/>
    </row>
    <row r="25" spans="1:10">
      <c r="A25" s="82"/>
      <c r="B25" s="75">
        <v>11</v>
      </c>
      <c r="C25" s="76">
        <v>0.47099999999999997</v>
      </c>
      <c r="E25" s="17">
        <f t="shared" si="2"/>
        <v>0.38949999999999996</v>
      </c>
      <c r="F25" s="17">
        <f t="shared" si="3"/>
        <v>4.9512820512820506</v>
      </c>
      <c r="G25" s="17">
        <f t="shared" si="4"/>
        <v>9.9025641025641011</v>
      </c>
      <c r="H25" s="83"/>
      <c r="I25" s="83"/>
    </row>
    <row r="26" spans="1:10">
      <c r="A26" s="82"/>
      <c r="B26" s="75">
        <v>12</v>
      </c>
      <c r="C26" s="76">
        <v>0.442</v>
      </c>
      <c r="E26" s="17">
        <f t="shared" si="2"/>
        <v>0.36049999999999999</v>
      </c>
      <c r="F26" s="17">
        <f t="shared" si="3"/>
        <v>4.5794871794871792</v>
      </c>
      <c r="G26" s="17">
        <f t="shared" si="4"/>
        <v>9.1589743589743584</v>
      </c>
      <c r="H26" s="83"/>
      <c r="I26" s="83"/>
      <c r="J26" s="84">
        <f>I21/H21*100</f>
        <v>3.1880485555630318</v>
      </c>
    </row>
    <row r="28" spans="1:10">
      <c r="B28" s="75">
        <v>13</v>
      </c>
      <c r="C28" s="76">
        <v>0.54400000000000004</v>
      </c>
      <c r="E28" s="17">
        <f>C28-$F$5</f>
        <v>0.46250000000000002</v>
      </c>
      <c r="F28" s="17">
        <f>(E28-0.0033)/0.078</f>
        <v>5.8871794871794876</v>
      </c>
      <c r="G28" s="17">
        <f>F28*2</f>
        <v>11.774358974358975</v>
      </c>
      <c r="H28" s="83">
        <f>AVERAGE(G28:G33)</f>
        <v>10.842735042735043</v>
      </c>
      <c r="I28" s="83">
        <f>STDEV(G28:G33)/SQRT(6)</f>
        <v>0.56206573483611388</v>
      </c>
    </row>
    <row r="29" spans="1:10">
      <c r="A29" s="82" t="s">
        <v>41</v>
      </c>
      <c r="B29" s="75">
        <v>14</v>
      </c>
      <c r="C29" s="76">
        <v>0.48299999999999998</v>
      </c>
      <c r="E29" s="17">
        <f t="shared" ref="E29:E39" si="5">C29-$F$5</f>
        <v>0.40149999999999997</v>
      </c>
      <c r="F29" s="17">
        <f t="shared" ref="F29:F39" si="6">(E29-0.0033)/0.078</f>
        <v>5.1051282051282048</v>
      </c>
      <c r="G29" s="17">
        <f t="shared" ref="G29:G39" si="7">F29*2</f>
        <v>10.21025641025641</v>
      </c>
      <c r="H29" s="83"/>
      <c r="I29" s="83"/>
    </row>
    <row r="30" spans="1:10">
      <c r="A30" s="82"/>
      <c r="B30" s="75">
        <v>15</v>
      </c>
      <c r="C30" s="76">
        <v>0.59699999999999998</v>
      </c>
      <c r="E30" s="17">
        <f t="shared" si="5"/>
        <v>0.51549999999999996</v>
      </c>
      <c r="F30" s="17">
        <f t="shared" si="6"/>
        <v>6.5666666666666664</v>
      </c>
      <c r="G30" s="17">
        <f t="shared" si="7"/>
        <v>13.133333333333333</v>
      </c>
      <c r="H30" s="83"/>
      <c r="I30" s="83"/>
    </row>
    <row r="31" spans="1:10">
      <c r="A31" s="82"/>
      <c r="B31" s="75">
        <v>16</v>
      </c>
      <c r="C31" s="76">
        <v>0.45</v>
      </c>
      <c r="E31" s="17">
        <f t="shared" si="5"/>
        <v>0.36849999999999999</v>
      </c>
      <c r="F31" s="17">
        <f t="shared" si="6"/>
        <v>4.6820512820512814</v>
      </c>
      <c r="G31" s="17">
        <f t="shared" si="7"/>
        <v>9.3641025641025628</v>
      </c>
      <c r="H31" s="83"/>
      <c r="I31" s="83"/>
    </row>
    <row r="32" spans="1:10">
      <c r="A32" s="82"/>
      <c r="B32" s="75">
        <v>17</v>
      </c>
      <c r="C32" s="76">
        <v>0.497</v>
      </c>
      <c r="E32" s="17">
        <f t="shared" si="5"/>
        <v>0.41549999999999998</v>
      </c>
      <c r="F32" s="17">
        <f t="shared" si="6"/>
        <v>5.2846153846153845</v>
      </c>
      <c r="G32" s="17">
        <f t="shared" si="7"/>
        <v>10.569230769230769</v>
      </c>
      <c r="H32" s="83"/>
      <c r="I32" s="83"/>
    </row>
    <row r="33" spans="1:13">
      <c r="A33" s="82"/>
      <c r="B33" s="75">
        <v>18</v>
      </c>
      <c r="C33" s="76">
        <v>0.47499999999999998</v>
      </c>
      <c r="E33" s="17">
        <f t="shared" si="5"/>
        <v>0.39349999999999996</v>
      </c>
      <c r="F33" s="17">
        <f t="shared" si="6"/>
        <v>5.0025641025641017</v>
      </c>
      <c r="G33" s="17">
        <f t="shared" si="7"/>
        <v>10.005128205128203</v>
      </c>
      <c r="H33" s="83"/>
      <c r="I33" s="83"/>
      <c r="J33" s="84">
        <f>I28/H28*100</f>
        <v>5.1838003291680055</v>
      </c>
    </row>
    <row r="34" spans="1:13">
      <c r="A34" s="82"/>
      <c r="B34" s="75">
        <v>19</v>
      </c>
      <c r="C34" s="76">
        <v>0.501</v>
      </c>
      <c r="E34" s="17">
        <f t="shared" si="5"/>
        <v>0.41949999999999998</v>
      </c>
      <c r="F34" s="17">
        <f t="shared" si="6"/>
        <v>5.3358974358974356</v>
      </c>
      <c r="G34" s="17">
        <f t="shared" si="7"/>
        <v>10.671794871794871</v>
      </c>
      <c r="H34" s="83">
        <f>AVERAGE(G34:G39)</f>
        <v>11.52222222222222</v>
      </c>
      <c r="I34" s="83">
        <f>STDEV(G34:G39)/SQRT(6)</f>
        <v>0.81249870052773943</v>
      </c>
      <c r="K34" s="85">
        <f>AVERAGE(G34:G38)</f>
        <v>10.902564102564101</v>
      </c>
      <c r="L34" s="85">
        <f>STDEV(G34:G38)/SQRT(5)</f>
        <v>0.64363571191439217</v>
      </c>
    </row>
    <row r="35" spans="1:13">
      <c r="A35" s="82" t="s">
        <v>42</v>
      </c>
      <c r="B35" s="75">
        <v>20</v>
      </c>
      <c r="C35" s="76">
        <v>0.60199999999999998</v>
      </c>
      <c r="E35" s="17">
        <f t="shared" si="5"/>
        <v>0.52049999999999996</v>
      </c>
      <c r="F35" s="17">
        <f t="shared" si="6"/>
        <v>6.6307692307692303</v>
      </c>
      <c r="G35" s="17">
        <f t="shared" si="7"/>
        <v>13.261538461538461</v>
      </c>
      <c r="H35" s="83"/>
      <c r="I35" s="83"/>
      <c r="K35" s="85"/>
      <c r="L35" s="85"/>
    </row>
    <row r="36" spans="1:13">
      <c r="A36" s="82"/>
      <c r="B36" s="75">
        <v>21</v>
      </c>
      <c r="C36" s="76">
        <v>0.47099999999999997</v>
      </c>
      <c r="E36" s="17">
        <f t="shared" si="5"/>
        <v>0.38949999999999996</v>
      </c>
      <c r="F36" s="17">
        <f t="shared" si="6"/>
        <v>4.9512820512820506</v>
      </c>
      <c r="G36" s="17">
        <f t="shared" si="7"/>
        <v>9.9025641025641011</v>
      </c>
      <c r="H36" s="83"/>
      <c r="I36" s="83"/>
      <c r="K36" s="85"/>
      <c r="L36" s="85"/>
    </row>
    <row r="37" spans="1:13">
      <c r="A37" s="82"/>
      <c r="B37" s="75">
        <v>22</v>
      </c>
      <c r="C37" s="76">
        <v>0.51600000000000001</v>
      </c>
      <c r="E37" s="17">
        <f t="shared" si="5"/>
        <v>0.4345</v>
      </c>
      <c r="F37" s="17">
        <f t="shared" si="6"/>
        <v>5.5282051282051281</v>
      </c>
      <c r="G37" s="17">
        <f t="shared" si="7"/>
        <v>11.056410256410256</v>
      </c>
      <c r="H37" s="83"/>
      <c r="I37" s="83"/>
      <c r="K37" s="85"/>
      <c r="L37" s="85"/>
    </row>
    <row r="38" spans="1:13">
      <c r="A38" s="82"/>
      <c r="B38" s="75">
        <v>23</v>
      </c>
      <c r="C38" s="76">
        <v>0.46</v>
      </c>
      <c r="E38" s="17">
        <f t="shared" si="5"/>
        <v>0.3785</v>
      </c>
      <c r="F38" s="17">
        <f t="shared" si="6"/>
        <v>4.81025641025641</v>
      </c>
      <c r="G38" s="17">
        <f t="shared" si="7"/>
        <v>9.6205128205128201</v>
      </c>
      <c r="H38" s="83"/>
      <c r="I38" s="83"/>
      <c r="K38" s="85"/>
      <c r="L38" s="85"/>
    </row>
    <row r="39" spans="1:13">
      <c r="A39" s="82"/>
      <c r="B39" s="75">
        <v>24</v>
      </c>
      <c r="C39" s="76">
        <v>0.65500000000000003</v>
      </c>
      <c r="E39" s="17">
        <f t="shared" si="5"/>
        <v>0.57350000000000001</v>
      </c>
      <c r="F39" s="17">
        <f t="shared" si="6"/>
        <v>7.3102564102564109</v>
      </c>
      <c r="G39" s="86">
        <f t="shared" si="7"/>
        <v>14.620512820512822</v>
      </c>
      <c r="H39" s="83"/>
      <c r="I39" s="83"/>
      <c r="J39" s="84">
        <f>I34/H34*100</f>
        <v>7.0515798502889639</v>
      </c>
      <c r="K39" s="85"/>
      <c r="L39" s="85"/>
      <c r="M39" s="87">
        <f>L34/K34*100</f>
        <v>5.903526050014416</v>
      </c>
    </row>
    <row r="40" spans="1:13">
      <c r="A40" s="82"/>
    </row>
  </sheetData>
  <mergeCells count="17">
    <mergeCell ref="K34:K39"/>
    <mergeCell ref="L34:L39"/>
    <mergeCell ref="A35:A40"/>
    <mergeCell ref="A21:A26"/>
    <mergeCell ref="H21:H26"/>
    <mergeCell ref="I21:I26"/>
    <mergeCell ref="H28:H33"/>
    <mergeCell ref="I28:I33"/>
    <mergeCell ref="A29:A34"/>
    <mergeCell ref="H34:H39"/>
    <mergeCell ref="I34:I39"/>
    <mergeCell ref="B1:D2"/>
    <mergeCell ref="H13:J13"/>
    <mergeCell ref="K13:L13"/>
    <mergeCell ref="A15:A20"/>
    <mergeCell ref="H15:H20"/>
    <mergeCell ref="I15:I2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O38"/>
  <sheetViews>
    <sheetView zoomScale="70" zoomScaleNormal="70" workbookViewId="0">
      <selection activeCell="P40" sqref="P40"/>
    </sheetView>
  </sheetViews>
  <sheetFormatPr baseColWidth="10" defaultRowHeight="15"/>
  <sheetData>
    <row r="2" spans="1:15">
      <c r="A2" s="1" t="s">
        <v>0</v>
      </c>
      <c r="B2" s="1"/>
      <c r="C2" s="1"/>
      <c r="D2" s="1"/>
      <c r="E2" s="1"/>
      <c r="F2" s="1"/>
      <c r="G2" s="1"/>
      <c r="H2" s="1"/>
      <c r="I2" s="1"/>
      <c r="J2" s="2"/>
    </row>
    <row r="3" spans="1:15" ht="30">
      <c r="A3" s="3" t="s">
        <v>1</v>
      </c>
      <c r="B3" s="4" t="s">
        <v>2</v>
      </c>
      <c r="C3" s="4"/>
      <c r="D3" s="3" t="s">
        <v>3</v>
      </c>
      <c r="E3" s="1" t="s">
        <v>4</v>
      </c>
      <c r="F3" s="1"/>
      <c r="G3" s="3" t="s">
        <v>5</v>
      </c>
      <c r="H3" s="3" t="s">
        <v>6</v>
      </c>
      <c r="I3" s="3" t="s">
        <v>7</v>
      </c>
      <c r="J3" s="2"/>
    </row>
    <row r="4" spans="1:15">
      <c r="A4" s="5">
        <v>0</v>
      </c>
      <c r="B4" s="21">
        <v>3.5999999999999997E-2</v>
      </c>
      <c r="C4" s="21">
        <v>3.5999999999999997E-2</v>
      </c>
      <c r="D4" s="7">
        <f t="shared" ref="D4:D9" si="0">AVERAGE(B4:C4)</f>
        <v>3.5999999999999997E-2</v>
      </c>
      <c r="E4" s="22">
        <v>7.0000000000000007E-2</v>
      </c>
      <c r="F4" s="22">
        <v>7.0000000000000007E-2</v>
      </c>
      <c r="G4" s="7">
        <f t="shared" ref="G4:G9" si="1">AVERAGE(E4:F4)</f>
        <v>7.0000000000000007E-2</v>
      </c>
      <c r="H4" s="7">
        <f t="shared" ref="H4:H9" si="2">G4-D4</f>
        <v>3.4000000000000009E-2</v>
      </c>
      <c r="I4" s="7">
        <f t="shared" ref="I4:I9" si="3">H4-$H$4</f>
        <v>0</v>
      </c>
    </row>
    <row r="5" spans="1:15">
      <c r="A5" s="5">
        <v>0.06</v>
      </c>
      <c r="B5" s="21">
        <v>3.5000000000000003E-2</v>
      </c>
      <c r="C5" s="21">
        <v>3.5000000000000003E-2</v>
      </c>
      <c r="D5" s="7">
        <f t="shared" si="0"/>
        <v>3.5000000000000003E-2</v>
      </c>
      <c r="E5" s="22">
        <v>7.9000000000000001E-2</v>
      </c>
      <c r="F5" s="23">
        <v>0.08</v>
      </c>
      <c r="G5" s="7">
        <f t="shared" si="1"/>
        <v>7.9500000000000001E-2</v>
      </c>
      <c r="H5" s="7">
        <f t="shared" si="2"/>
        <v>4.4499999999999998E-2</v>
      </c>
      <c r="I5" s="7">
        <f t="shared" si="3"/>
        <v>1.0499999999999989E-2</v>
      </c>
    </row>
    <row r="6" spans="1:15">
      <c r="A6" s="5">
        <v>0.125</v>
      </c>
      <c r="B6" s="21">
        <v>3.5999999999999997E-2</v>
      </c>
      <c r="C6" s="21">
        <v>3.5999999999999997E-2</v>
      </c>
      <c r="D6" s="7">
        <f t="shared" si="0"/>
        <v>3.5999999999999997E-2</v>
      </c>
      <c r="E6" s="23">
        <v>9.5000000000000001E-2</v>
      </c>
      <c r="F6" s="23">
        <v>9.6000000000000002E-2</v>
      </c>
      <c r="G6" s="7">
        <f t="shared" si="1"/>
        <v>9.5500000000000002E-2</v>
      </c>
      <c r="H6" s="7">
        <f t="shared" si="2"/>
        <v>5.9500000000000004E-2</v>
      </c>
      <c r="I6" s="7">
        <f t="shared" si="3"/>
        <v>2.5499999999999995E-2</v>
      </c>
    </row>
    <row r="7" spans="1:15">
      <c r="A7" s="5">
        <v>0.25</v>
      </c>
      <c r="B7" s="21">
        <v>3.5999999999999997E-2</v>
      </c>
      <c r="C7" s="21">
        <v>3.5999999999999997E-2</v>
      </c>
      <c r="D7" s="7">
        <f t="shared" si="0"/>
        <v>3.5999999999999997E-2</v>
      </c>
      <c r="E7" s="24">
        <v>0.122</v>
      </c>
      <c r="F7" s="24">
        <v>0.122</v>
      </c>
      <c r="G7" s="7">
        <f t="shared" si="1"/>
        <v>0.122</v>
      </c>
      <c r="H7" s="7">
        <f t="shared" si="2"/>
        <v>8.5999999999999993E-2</v>
      </c>
      <c r="I7" s="7">
        <f t="shared" si="3"/>
        <v>5.1999999999999984E-2</v>
      </c>
    </row>
    <row r="8" spans="1:15">
      <c r="A8" s="5">
        <v>0.5</v>
      </c>
      <c r="B8" s="21">
        <v>3.7999999999999999E-2</v>
      </c>
      <c r="C8" s="21">
        <v>3.6999999999999998E-2</v>
      </c>
      <c r="D8" s="7">
        <f t="shared" si="0"/>
        <v>3.7499999999999999E-2</v>
      </c>
      <c r="E8" s="25">
        <v>0.16400000000000001</v>
      </c>
      <c r="F8" s="25">
        <v>0.16700000000000001</v>
      </c>
      <c r="G8" s="7">
        <f t="shared" si="1"/>
        <v>0.16550000000000001</v>
      </c>
      <c r="H8" s="7">
        <f t="shared" si="2"/>
        <v>0.128</v>
      </c>
      <c r="I8" s="7">
        <f t="shared" si="3"/>
        <v>9.4E-2</v>
      </c>
    </row>
    <row r="9" spans="1:15">
      <c r="A9" s="5">
        <v>1</v>
      </c>
      <c r="B9" s="26">
        <v>5.8000000000000003E-2</v>
      </c>
      <c r="C9" s="26">
        <v>5.8000000000000003E-2</v>
      </c>
      <c r="D9" s="7">
        <f t="shared" si="0"/>
        <v>5.8000000000000003E-2</v>
      </c>
      <c r="E9" s="27">
        <v>0.307</v>
      </c>
      <c r="F9" s="28">
        <v>0.33</v>
      </c>
      <c r="G9" s="7">
        <f t="shared" si="1"/>
        <v>0.31850000000000001</v>
      </c>
      <c r="H9" s="7">
        <f t="shared" si="2"/>
        <v>0.26050000000000001</v>
      </c>
      <c r="I9" s="7">
        <f t="shared" si="3"/>
        <v>0.22650000000000001</v>
      </c>
    </row>
    <row r="11" spans="1:15">
      <c r="N11" s="29" t="s">
        <v>8</v>
      </c>
      <c r="O11" s="29"/>
    </row>
    <row r="12" spans="1:15" ht="30">
      <c r="A12" s="11" t="s">
        <v>9</v>
      </c>
      <c r="C12" s="12" t="s">
        <v>2</v>
      </c>
      <c r="D12" s="12"/>
      <c r="E12" s="3" t="s">
        <v>3</v>
      </c>
      <c r="F12" s="1" t="s">
        <v>4</v>
      </c>
      <c r="G12" s="1"/>
      <c r="H12" s="3" t="s">
        <v>5</v>
      </c>
      <c r="I12" s="3" t="s">
        <v>6</v>
      </c>
      <c r="J12" s="3" t="s">
        <v>7</v>
      </c>
      <c r="K12" s="3" t="s">
        <v>10</v>
      </c>
      <c r="L12" s="3" t="s">
        <v>11</v>
      </c>
      <c r="M12" s="3" t="s">
        <v>12</v>
      </c>
      <c r="N12" s="30" t="s">
        <v>11</v>
      </c>
      <c r="O12" s="30" t="s">
        <v>12</v>
      </c>
    </row>
    <row r="13" spans="1:15">
      <c r="A13" s="14" t="s">
        <v>17</v>
      </c>
      <c r="B13" s="15">
        <v>1</v>
      </c>
      <c r="C13" s="31">
        <v>7.4999999999999997E-2</v>
      </c>
      <c r="D13" s="31">
        <v>7.5999999999999998E-2</v>
      </c>
      <c r="E13" s="32">
        <f>AVERAGE(C13:D13)</f>
        <v>7.5499999999999998E-2</v>
      </c>
      <c r="F13" s="33">
        <v>0.2</v>
      </c>
      <c r="G13" s="33">
        <v>0.19</v>
      </c>
      <c r="H13" s="32">
        <f>AVERAGE(F13:G13)</f>
        <v>0.19500000000000001</v>
      </c>
      <c r="I13" s="32">
        <f>H13-E13</f>
        <v>0.11950000000000001</v>
      </c>
      <c r="J13" s="17">
        <f>I13-$H$4</f>
        <v>8.5499999999999993E-2</v>
      </c>
      <c r="K13" s="17">
        <f>(J13+0.0042)/0.2241</f>
        <v>0.40026773761713519</v>
      </c>
      <c r="L13" s="18">
        <f>AVERAGE(K13:K18)</f>
        <v>0.52037780752640195</v>
      </c>
      <c r="M13" s="18">
        <f>STDEV(K13:K18)/SQRT(6)</f>
        <v>8.4120284175101076E-2</v>
      </c>
      <c r="N13" s="18">
        <f>AVERAGE(K13:K17)</f>
        <v>0.4506916555109326</v>
      </c>
      <c r="O13" s="18">
        <f>STDEV(K13:K17)/SQRT(5)</f>
        <v>5.7706963535304752E-2</v>
      </c>
    </row>
    <row r="14" spans="1:15">
      <c r="A14" s="14"/>
      <c r="B14" s="5">
        <v>2</v>
      </c>
      <c r="C14" s="34">
        <v>6.7000000000000004E-2</v>
      </c>
      <c r="D14" s="35">
        <v>7.0999999999999994E-2</v>
      </c>
      <c r="E14" s="32">
        <f t="shared" ref="E14:E36" si="4">AVERAGE(C14:D14)</f>
        <v>6.9000000000000006E-2</v>
      </c>
      <c r="F14" s="25">
        <v>0.17100000000000001</v>
      </c>
      <c r="G14" s="33">
        <v>0.19700000000000001</v>
      </c>
      <c r="H14" s="32">
        <f t="shared" ref="H14:H36" si="5">AVERAGE(F14:G14)</f>
        <v>0.184</v>
      </c>
      <c r="I14" s="32">
        <f t="shared" ref="I14:I36" si="6">H14-E14</f>
        <v>0.11499999999999999</v>
      </c>
      <c r="J14" s="17">
        <f t="shared" ref="J14:J36" si="7">I14-$H$4</f>
        <v>8.0999999999999989E-2</v>
      </c>
      <c r="K14" s="17">
        <f t="shared" ref="K14:K36" si="8">(J14+0.0042)/0.2241</f>
        <v>0.3801874163319946</v>
      </c>
      <c r="L14" s="18"/>
      <c r="M14" s="18"/>
      <c r="N14" s="18"/>
      <c r="O14" s="18"/>
    </row>
    <row r="15" spans="1:15">
      <c r="A15" s="14"/>
      <c r="B15" s="5">
        <v>3</v>
      </c>
      <c r="C15" s="34">
        <v>6.9000000000000006E-2</v>
      </c>
      <c r="D15" s="36">
        <v>8.4000000000000005E-2</v>
      </c>
      <c r="E15" s="32">
        <f t="shared" si="4"/>
        <v>7.6500000000000012E-2</v>
      </c>
      <c r="F15" s="33">
        <v>0.19900000000000001</v>
      </c>
      <c r="G15" s="37">
        <v>0.215</v>
      </c>
      <c r="H15" s="32">
        <f t="shared" si="5"/>
        <v>0.20700000000000002</v>
      </c>
      <c r="I15" s="32">
        <f t="shared" si="6"/>
        <v>0.1305</v>
      </c>
      <c r="J15" s="17">
        <f t="shared" si="7"/>
        <v>9.6500000000000002E-2</v>
      </c>
      <c r="K15" s="17">
        <f t="shared" si="8"/>
        <v>0.4493529674252566</v>
      </c>
      <c r="L15" s="18"/>
      <c r="M15" s="18"/>
      <c r="N15" s="18"/>
      <c r="O15" s="18"/>
    </row>
    <row r="16" spans="1:15">
      <c r="A16" s="14"/>
      <c r="B16" s="5">
        <v>4</v>
      </c>
      <c r="C16" s="34">
        <v>6.8000000000000005E-2</v>
      </c>
      <c r="D16" s="38">
        <v>0.08</v>
      </c>
      <c r="E16" s="32">
        <f t="shared" si="4"/>
        <v>7.400000000000001E-2</v>
      </c>
      <c r="F16" s="39">
        <v>0.255</v>
      </c>
      <c r="G16" s="39">
        <v>0.254</v>
      </c>
      <c r="H16" s="32">
        <f t="shared" si="5"/>
        <v>0.2545</v>
      </c>
      <c r="I16" s="32">
        <f t="shared" si="6"/>
        <v>0.18049999999999999</v>
      </c>
      <c r="J16" s="17">
        <f t="shared" si="7"/>
        <v>0.14649999999999999</v>
      </c>
      <c r="K16" s="17">
        <f t="shared" si="8"/>
        <v>0.67246764837126283</v>
      </c>
      <c r="L16" s="18"/>
      <c r="M16" s="18"/>
      <c r="N16" s="18"/>
      <c r="O16" s="18"/>
    </row>
    <row r="17" spans="1:15">
      <c r="A17" s="14"/>
      <c r="B17" s="5">
        <v>5</v>
      </c>
      <c r="C17" s="40">
        <v>5.5E-2</v>
      </c>
      <c r="D17" s="40">
        <v>5.6000000000000001E-2</v>
      </c>
      <c r="E17" s="32">
        <f t="shared" si="4"/>
        <v>5.5500000000000001E-2</v>
      </c>
      <c r="F17" s="41">
        <v>0.158</v>
      </c>
      <c r="G17" s="25">
        <v>0.17</v>
      </c>
      <c r="H17" s="32">
        <f t="shared" si="5"/>
        <v>0.16400000000000001</v>
      </c>
      <c r="I17" s="32">
        <f t="shared" si="6"/>
        <v>0.10850000000000001</v>
      </c>
      <c r="J17" s="17">
        <f t="shared" si="7"/>
        <v>7.4500000000000011E-2</v>
      </c>
      <c r="K17" s="17">
        <f t="shared" si="8"/>
        <v>0.35118250780901389</v>
      </c>
      <c r="L17" s="18"/>
      <c r="M17" s="18"/>
      <c r="N17" s="18"/>
      <c r="O17" s="18"/>
    </row>
    <row r="18" spans="1:15">
      <c r="A18" s="14"/>
      <c r="B18" s="5">
        <v>6</v>
      </c>
      <c r="C18" s="42">
        <v>9.5000000000000001E-2</v>
      </c>
      <c r="D18" s="42">
        <v>9.4E-2</v>
      </c>
      <c r="E18" s="32">
        <f t="shared" si="4"/>
        <v>9.4500000000000001E-2</v>
      </c>
      <c r="F18" s="28">
        <v>0.311</v>
      </c>
      <c r="G18" s="28">
        <v>0.32700000000000001</v>
      </c>
      <c r="H18" s="32">
        <f t="shared" si="5"/>
        <v>0.31900000000000001</v>
      </c>
      <c r="I18" s="32">
        <f t="shared" si="6"/>
        <v>0.22450000000000001</v>
      </c>
      <c r="J18" s="17">
        <f t="shared" si="7"/>
        <v>0.1905</v>
      </c>
      <c r="K18" s="43">
        <f t="shared" si="8"/>
        <v>0.86880856760374836</v>
      </c>
      <c r="L18" s="18"/>
      <c r="M18" s="18"/>
      <c r="N18" s="18"/>
      <c r="O18" s="18"/>
    </row>
    <row r="19" spans="1:15">
      <c r="A19" s="14" t="s">
        <v>18</v>
      </c>
      <c r="B19" s="5">
        <v>7</v>
      </c>
      <c r="C19" s="26">
        <v>5.7000000000000002E-2</v>
      </c>
      <c r="D19" s="40">
        <v>5.6000000000000001E-2</v>
      </c>
      <c r="E19" s="32">
        <f t="shared" si="4"/>
        <v>5.6500000000000002E-2</v>
      </c>
      <c r="F19" s="41">
        <v>0.15</v>
      </c>
      <c r="G19" s="41">
        <v>0.155</v>
      </c>
      <c r="H19" s="32">
        <f t="shared" si="5"/>
        <v>0.1525</v>
      </c>
      <c r="I19" s="32">
        <f>H19-E19</f>
        <v>9.6000000000000002E-2</v>
      </c>
      <c r="J19" s="17">
        <f t="shared" si="7"/>
        <v>6.1999999999999993E-2</v>
      </c>
      <c r="K19" s="17">
        <f t="shared" si="8"/>
        <v>0.29540383757251226</v>
      </c>
      <c r="L19" s="18">
        <f>AVERAGE(K19:K24)</f>
        <v>0.46311170608359364</v>
      </c>
      <c r="M19" s="18">
        <f>STDEV(K19:K24)/SQRT(6)</f>
        <v>4.6342792508118791E-2</v>
      </c>
      <c r="N19" s="20"/>
      <c r="O19" s="20"/>
    </row>
    <row r="20" spans="1:15">
      <c r="A20" s="14"/>
      <c r="B20" s="5">
        <v>8</v>
      </c>
      <c r="C20" s="44">
        <v>6.0999999999999999E-2</v>
      </c>
      <c r="D20" s="26">
        <v>5.8000000000000003E-2</v>
      </c>
      <c r="E20" s="32">
        <f t="shared" si="4"/>
        <v>5.9499999999999997E-2</v>
      </c>
      <c r="F20" s="41">
        <v>0.158</v>
      </c>
      <c r="G20" s="45">
        <v>0.23300000000000001</v>
      </c>
      <c r="H20" s="32">
        <f t="shared" si="5"/>
        <v>0.19550000000000001</v>
      </c>
      <c r="I20" s="32">
        <f t="shared" si="6"/>
        <v>0.13600000000000001</v>
      </c>
      <c r="J20" s="17">
        <f t="shared" si="7"/>
        <v>0.10200000000000001</v>
      </c>
      <c r="K20" s="17">
        <f t="shared" si="8"/>
        <v>0.47389558232931728</v>
      </c>
      <c r="L20" s="18"/>
      <c r="M20" s="18"/>
      <c r="N20" s="20"/>
      <c r="O20" s="20"/>
    </row>
    <row r="21" spans="1:15">
      <c r="A21" s="14"/>
      <c r="B21" s="5">
        <v>9</v>
      </c>
      <c r="C21" s="44">
        <v>6.2E-2</v>
      </c>
      <c r="D21" s="44">
        <v>6.4000000000000001E-2</v>
      </c>
      <c r="E21" s="32">
        <f t="shared" si="4"/>
        <v>6.3E-2</v>
      </c>
      <c r="F21" s="33">
        <v>0.19500000000000001</v>
      </c>
      <c r="G21" s="37">
        <v>0.21199999999999999</v>
      </c>
      <c r="H21" s="32">
        <f t="shared" si="5"/>
        <v>0.20350000000000001</v>
      </c>
      <c r="I21" s="32">
        <f t="shared" si="6"/>
        <v>0.14050000000000001</v>
      </c>
      <c r="J21" s="17">
        <f t="shared" si="7"/>
        <v>0.10650000000000001</v>
      </c>
      <c r="K21" s="17">
        <f t="shared" si="8"/>
        <v>0.49397590361445787</v>
      </c>
      <c r="L21" s="18"/>
      <c r="M21" s="18"/>
      <c r="N21" s="20"/>
      <c r="O21" s="20"/>
    </row>
    <row r="22" spans="1:15">
      <c r="A22" s="14"/>
      <c r="B22" s="5">
        <v>10</v>
      </c>
      <c r="C22" s="46">
        <v>5.0999999999999997E-2</v>
      </c>
      <c r="D22" s="40">
        <v>5.6000000000000001E-2</v>
      </c>
      <c r="E22" s="32">
        <f t="shared" si="4"/>
        <v>5.3499999999999999E-2</v>
      </c>
      <c r="F22" s="33">
        <v>0.19700000000000001</v>
      </c>
      <c r="G22" s="45">
        <v>0.23300000000000001</v>
      </c>
      <c r="H22" s="32">
        <f t="shared" si="5"/>
        <v>0.21500000000000002</v>
      </c>
      <c r="I22" s="32">
        <f t="shared" si="6"/>
        <v>0.16150000000000003</v>
      </c>
      <c r="J22" s="17">
        <f t="shared" si="7"/>
        <v>0.12750000000000003</v>
      </c>
      <c r="K22" s="17">
        <f t="shared" si="8"/>
        <v>0.58768406961178066</v>
      </c>
      <c r="L22" s="18"/>
      <c r="M22" s="18"/>
      <c r="N22" s="20"/>
      <c r="O22" s="20"/>
    </row>
    <row r="23" spans="1:15">
      <c r="A23" s="14"/>
      <c r="B23" s="5">
        <v>11</v>
      </c>
      <c r="C23" s="47">
        <v>4.5999999999999999E-2</v>
      </c>
      <c r="D23" s="46">
        <v>4.8000000000000001E-2</v>
      </c>
      <c r="E23" s="32">
        <f t="shared" si="4"/>
        <v>4.7E-2</v>
      </c>
      <c r="F23" s="41">
        <v>0.15</v>
      </c>
      <c r="G23" s="25">
        <v>0.16700000000000001</v>
      </c>
      <c r="H23" s="32">
        <f t="shared" si="5"/>
        <v>0.1585</v>
      </c>
      <c r="I23" s="32">
        <f t="shared" si="6"/>
        <v>0.1115</v>
      </c>
      <c r="J23" s="17">
        <f t="shared" si="7"/>
        <v>7.7499999999999986E-2</v>
      </c>
      <c r="K23" s="17">
        <f t="shared" si="8"/>
        <v>0.36456938866577415</v>
      </c>
      <c r="L23" s="18"/>
      <c r="M23" s="18"/>
      <c r="N23" s="20"/>
      <c r="O23" s="20"/>
    </row>
    <row r="24" spans="1:15">
      <c r="A24" s="14"/>
      <c r="B24" s="5">
        <v>12</v>
      </c>
      <c r="C24" s="48">
        <v>4.2000000000000003E-2</v>
      </c>
      <c r="D24" s="48">
        <v>4.2999999999999997E-2</v>
      </c>
      <c r="E24" s="32">
        <f t="shared" si="4"/>
        <v>4.2499999999999996E-2</v>
      </c>
      <c r="F24" s="33">
        <v>0.193</v>
      </c>
      <c r="G24" s="33">
        <v>0.20399999999999999</v>
      </c>
      <c r="H24" s="32">
        <f t="shared" si="5"/>
        <v>0.19850000000000001</v>
      </c>
      <c r="I24" s="32">
        <f t="shared" si="6"/>
        <v>0.15600000000000003</v>
      </c>
      <c r="J24" s="17">
        <f t="shared" si="7"/>
        <v>0.12200000000000003</v>
      </c>
      <c r="K24" s="17">
        <f t="shared" si="8"/>
        <v>0.56314145470771992</v>
      </c>
      <c r="L24" s="18"/>
      <c r="M24" s="18"/>
      <c r="N24" s="20"/>
      <c r="O24" s="20"/>
    </row>
    <row r="25" spans="1:15">
      <c r="A25" s="14" t="s">
        <v>19</v>
      </c>
      <c r="B25" s="15">
        <v>1</v>
      </c>
      <c r="C25" s="40">
        <v>5.3999999999999999E-2</v>
      </c>
      <c r="D25" s="46">
        <v>5.1999999999999998E-2</v>
      </c>
      <c r="E25" s="32">
        <f t="shared" si="4"/>
        <v>5.2999999999999999E-2</v>
      </c>
      <c r="F25" s="25">
        <v>0.16600000000000001</v>
      </c>
      <c r="G25" s="25">
        <v>0.17699999999999999</v>
      </c>
      <c r="H25" s="32">
        <f t="shared" si="5"/>
        <v>0.17149999999999999</v>
      </c>
      <c r="I25" s="32">
        <f t="shared" si="6"/>
        <v>0.11849999999999999</v>
      </c>
      <c r="J25" s="17">
        <f t="shared" si="7"/>
        <v>8.4499999999999992E-2</v>
      </c>
      <c r="K25" s="17">
        <f t="shared" si="8"/>
        <v>0.39580544399821505</v>
      </c>
      <c r="L25" s="18">
        <f>AVERAGE(K25:K30)</f>
        <v>0.47761416034508403</v>
      </c>
      <c r="M25" s="18">
        <f>STDEV(K25:K30)/SQRT(6)</f>
        <v>4.9612018682605778E-2</v>
      </c>
      <c r="N25" s="18">
        <f>AVERAGE(K25:K28,K30)</f>
        <v>0.43641231593038815</v>
      </c>
      <c r="O25" s="18">
        <f>STDEV(K25:K28,K30)/SQRT(5)</f>
        <v>3.3847313362889535E-2</v>
      </c>
    </row>
    <row r="26" spans="1:15">
      <c r="A26" s="14"/>
      <c r="B26" s="5">
        <v>2</v>
      </c>
      <c r="C26" s="49">
        <v>8.8999999999999996E-2</v>
      </c>
      <c r="D26" s="35">
        <v>7.0999999999999994E-2</v>
      </c>
      <c r="E26" s="32">
        <f t="shared" si="4"/>
        <v>7.9999999999999988E-2</v>
      </c>
      <c r="F26" s="45">
        <v>0.23899999999999999</v>
      </c>
      <c r="G26" s="37">
        <v>0.219</v>
      </c>
      <c r="H26" s="32">
        <f t="shared" si="5"/>
        <v>0.22899999999999998</v>
      </c>
      <c r="I26" s="32">
        <f t="shared" si="6"/>
        <v>0.14899999999999999</v>
      </c>
      <c r="J26" s="17">
        <f t="shared" si="7"/>
        <v>0.11499999999999999</v>
      </c>
      <c r="K26" s="17">
        <f t="shared" si="8"/>
        <v>0.53190539937527881</v>
      </c>
      <c r="L26" s="18"/>
      <c r="M26" s="18"/>
      <c r="N26" s="18"/>
      <c r="O26" s="18"/>
    </row>
    <row r="27" spans="1:15">
      <c r="A27" s="14"/>
      <c r="B27" s="5">
        <v>3</v>
      </c>
      <c r="C27" s="46">
        <v>4.8000000000000001E-2</v>
      </c>
      <c r="D27" s="46">
        <v>5.0999999999999997E-2</v>
      </c>
      <c r="E27" s="32">
        <f t="shared" si="4"/>
        <v>4.9500000000000002E-2</v>
      </c>
      <c r="F27" s="41">
        <v>0.14699999999999999</v>
      </c>
      <c r="G27" s="41">
        <v>0.161</v>
      </c>
      <c r="H27" s="32">
        <f t="shared" si="5"/>
        <v>0.154</v>
      </c>
      <c r="I27" s="32">
        <f t="shared" si="6"/>
        <v>0.1045</v>
      </c>
      <c r="J27" s="17">
        <f t="shared" si="7"/>
        <v>7.0499999999999979E-2</v>
      </c>
      <c r="K27" s="17">
        <f t="shared" si="8"/>
        <v>0.3333333333333332</v>
      </c>
      <c r="L27" s="18"/>
      <c r="M27" s="18"/>
      <c r="N27" s="18"/>
      <c r="O27" s="18"/>
    </row>
    <row r="28" spans="1:15">
      <c r="A28" s="14"/>
      <c r="B28" s="5">
        <v>4</v>
      </c>
      <c r="C28" s="44">
        <v>6.0999999999999999E-2</v>
      </c>
      <c r="D28" s="44">
        <v>6.4000000000000001E-2</v>
      </c>
      <c r="E28" s="32">
        <f t="shared" si="4"/>
        <v>6.25E-2</v>
      </c>
      <c r="F28" s="33">
        <v>0.20399999999999999</v>
      </c>
      <c r="G28" s="33">
        <v>0.193</v>
      </c>
      <c r="H28" s="32">
        <f t="shared" si="5"/>
        <v>0.19850000000000001</v>
      </c>
      <c r="I28" s="32">
        <f t="shared" si="6"/>
        <v>0.13600000000000001</v>
      </c>
      <c r="J28" s="17">
        <f t="shared" si="7"/>
        <v>0.10200000000000001</v>
      </c>
      <c r="K28" s="17">
        <f t="shared" si="8"/>
        <v>0.47389558232931728</v>
      </c>
      <c r="L28" s="18"/>
      <c r="M28" s="18"/>
      <c r="N28" s="18"/>
      <c r="O28" s="18"/>
    </row>
    <row r="29" spans="1:15">
      <c r="A29" s="14"/>
      <c r="B29" s="5">
        <v>5</v>
      </c>
      <c r="C29" s="26">
        <v>5.8000000000000003E-2</v>
      </c>
      <c r="D29" s="44">
        <v>6.0999999999999999E-2</v>
      </c>
      <c r="E29" s="32">
        <f t="shared" si="4"/>
        <v>5.9499999999999997E-2</v>
      </c>
      <c r="F29" s="45">
        <v>0.23100000000000001</v>
      </c>
      <c r="G29" s="39">
        <v>0.254</v>
      </c>
      <c r="H29" s="32">
        <f t="shared" si="5"/>
        <v>0.24249999999999999</v>
      </c>
      <c r="I29" s="32">
        <f t="shared" si="6"/>
        <v>0.183</v>
      </c>
      <c r="J29" s="17">
        <f t="shared" si="7"/>
        <v>0.14899999999999999</v>
      </c>
      <c r="K29" s="43">
        <f t="shared" si="8"/>
        <v>0.68362338241856313</v>
      </c>
      <c r="L29" s="18"/>
      <c r="M29" s="18"/>
      <c r="N29" s="18"/>
      <c r="O29" s="18"/>
    </row>
    <row r="30" spans="1:15">
      <c r="A30" s="14"/>
      <c r="B30" s="5">
        <v>6</v>
      </c>
      <c r="C30" s="34">
        <v>6.6000000000000003E-2</v>
      </c>
      <c r="D30" s="44">
        <v>6.3E-2</v>
      </c>
      <c r="E30" s="32">
        <f t="shared" si="4"/>
        <v>6.4500000000000002E-2</v>
      </c>
      <c r="F30" s="33">
        <v>0.19600000000000001</v>
      </c>
      <c r="G30" s="33">
        <v>0.193</v>
      </c>
      <c r="H30" s="32">
        <f t="shared" si="5"/>
        <v>0.19450000000000001</v>
      </c>
      <c r="I30" s="32">
        <f t="shared" si="6"/>
        <v>0.13</v>
      </c>
      <c r="J30" s="17">
        <f t="shared" si="7"/>
        <v>9.6000000000000002E-2</v>
      </c>
      <c r="K30" s="17">
        <f t="shared" si="8"/>
        <v>0.44712182061579653</v>
      </c>
      <c r="L30" s="18"/>
      <c r="M30" s="18"/>
      <c r="N30" s="18"/>
      <c r="O30" s="18"/>
    </row>
    <row r="31" spans="1:15">
      <c r="A31" s="14" t="s">
        <v>20</v>
      </c>
      <c r="B31" s="5">
        <v>7</v>
      </c>
      <c r="C31" s="47">
        <v>4.7E-2</v>
      </c>
      <c r="D31" s="46">
        <v>4.8000000000000001E-2</v>
      </c>
      <c r="E31" s="32">
        <f t="shared" si="4"/>
        <v>4.7500000000000001E-2</v>
      </c>
      <c r="F31" s="25">
        <v>0.17699999999999999</v>
      </c>
      <c r="G31" s="33">
        <v>0.2</v>
      </c>
      <c r="H31" s="32">
        <f t="shared" si="5"/>
        <v>0.1885</v>
      </c>
      <c r="I31" s="32">
        <f t="shared" si="6"/>
        <v>0.14100000000000001</v>
      </c>
      <c r="J31" s="17">
        <f t="shared" si="7"/>
        <v>0.10700000000000001</v>
      </c>
      <c r="K31" s="43">
        <f t="shared" si="8"/>
        <v>0.49620705042391794</v>
      </c>
      <c r="L31" s="18">
        <f>AVERAGE(K31:K36)</f>
        <v>0.37832812732411125</v>
      </c>
      <c r="M31" s="18">
        <f>STDEV(K31:K36)/SQRT(6)</f>
        <v>2.6875313548707976E-2</v>
      </c>
      <c r="N31" s="18">
        <f>AVERAGE(K32:K36)</f>
        <v>0.35475234270414985</v>
      </c>
      <c r="O31" s="18">
        <f>STDEV(K32:K36)/SQRT(5)</f>
        <v>1.5801812770750354E-2</v>
      </c>
    </row>
    <row r="32" spans="1:15">
      <c r="A32" s="14"/>
      <c r="B32" s="5">
        <v>8</v>
      </c>
      <c r="C32" s="26">
        <v>0.06</v>
      </c>
      <c r="D32" s="26">
        <v>5.8999999999999997E-2</v>
      </c>
      <c r="E32" s="32">
        <f t="shared" si="4"/>
        <v>5.9499999999999997E-2</v>
      </c>
      <c r="F32" s="25">
        <v>0.182</v>
      </c>
      <c r="G32" s="25">
        <v>0.17499999999999999</v>
      </c>
      <c r="H32" s="32">
        <f t="shared" si="5"/>
        <v>0.17849999999999999</v>
      </c>
      <c r="I32" s="32">
        <f t="shared" si="6"/>
        <v>0.11899999999999999</v>
      </c>
      <c r="J32" s="17">
        <f t="shared" si="7"/>
        <v>8.4999999999999992E-2</v>
      </c>
      <c r="K32" s="17">
        <f t="shared" si="8"/>
        <v>0.39803659080767512</v>
      </c>
      <c r="L32" s="18"/>
      <c r="M32" s="18"/>
      <c r="N32" s="18"/>
      <c r="O32" s="18"/>
    </row>
    <row r="33" spans="1:15">
      <c r="A33" s="14"/>
      <c r="B33" s="5">
        <v>9</v>
      </c>
      <c r="C33" s="46">
        <v>4.8000000000000001E-2</v>
      </c>
      <c r="D33" s="47">
        <v>4.5999999999999999E-2</v>
      </c>
      <c r="E33" s="32">
        <f t="shared" si="4"/>
        <v>4.7E-2</v>
      </c>
      <c r="F33" s="41">
        <v>0.14799999999999999</v>
      </c>
      <c r="G33" s="24">
        <v>0.14199999999999999</v>
      </c>
      <c r="H33" s="32">
        <f t="shared" si="5"/>
        <v>0.14499999999999999</v>
      </c>
      <c r="I33" s="32">
        <f t="shared" si="6"/>
        <v>9.799999999999999E-2</v>
      </c>
      <c r="J33" s="17">
        <f t="shared" si="7"/>
        <v>6.3999999999999974E-2</v>
      </c>
      <c r="K33" s="17">
        <f t="shared" si="8"/>
        <v>0.30432842481035238</v>
      </c>
      <c r="L33" s="18"/>
      <c r="M33" s="18"/>
      <c r="N33" s="18"/>
      <c r="O33" s="18"/>
    </row>
    <row r="34" spans="1:15">
      <c r="A34" s="14"/>
      <c r="B34" s="5">
        <v>10</v>
      </c>
      <c r="C34" s="34">
        <v>6.9000000000000006E-2</v>
      </c>
      <c r="D34" s="34">
        <v>6.9000000000000006E-2</v>
      </c>
      <c r="E34" s="32">
        <f t="shared" si="4"/>
        <v>6.9000000000000006E-2</v>
      </c>
      <c r="F34" s="25">
        <v>0.17799999999999999</v>
      </c>
      <c r="G34" s="25">
        <v>0.17199999999999999</v>
      </c>
      <c r="H34" s="32">
        <f t="shared" si="5"/>
        <v>0.17499999999999999</v>
      </c>
      <c r="I34" s="32">
        <f t="shared" si="6"/>
        <v>0.10599999999999998</v>
      </c>
      <c r="J34" s="17">
        <f t="shared" si="7"/>
        <v>7.1999999999999981E-2</v>
      </c>
      <c r="K34" s="17">
        <f t="shared" si="8"/>
        <v>0.34002677376171342</v>
      </c>
      <c r="L34" s="18"/>
      <c r="M34" s="18"/>
      <c r="N34" s="18"/>
      <c r="O34" s="18"/>
    </row>
    <row r="35" spans="1:15">
      <c r="A35" s="14"/>
      <c r="B35" s="5">
        <v>11</v>
      </c>
      <c r="C35" s="46">
        <v>4.8000000000000001E-2</v>
      </c>
      <c r="D35" s="46">
        <v>4.9000000000000002E-2</v>
      </c>
      <c r="E35" s="32">
        <f t="shared" si="4"/>
        <v>4.8500000000000001E-2</v>
      </c>
      <c r="F35" s="41">
        <v>0.159</v>
      </c>
      <c r="G35" s="41">
        <v>0.158</v>
      </c>
      <c r="H35" s="32">
        <f t="shared" si="5"/>
        <v>0.1585</v>
      </c>
      <c r="I35" s="32">
        <f t="shared" si="6"/>
        <v>0.11</v>
      </c>
      <c r="J35" s="17">
        <f t="shared" si="7"/>
        <v>7.5999999999999984E-2</v>
      </c>
      <c r="K35" s="17">
        <f t="shared" si="8"/>
        <v>0.35787594823739394</v>
      </c>
      <c r="L35" s="18"/>
      <c r="M35" s="18"/>
      <c r="N35" s="18"/>
      <c r="O35" s="18"/>
    </row>
    <row r="36" spans="1:15">
      <c r="A36" s="14"/>
      <c r="B36" s="5">
        <v>12</v>
      </c>
      <c r="C36" s="40">
        <v>5.3999999999999999E-2</v>
      </c>
      <c r="D36" s="40">
        <v>5.3999999999999999E-2</v>
      </c>
      <c r="E36" s="16">
        <f t="shared" si="4"/>
        <v>5.3999999999999999E-2</v>
      </c>
      <c r="F36" s="25">
        <v>0.17</v>
      </c>
      <c r="G36" s="25">
        <v>0.16500000000000001</v>
      </c>
      <c r="H36" s="32">
        <f t="shared" si="5"/>
        <v>0.16750000000000001</v>
      </c>
      <c r="I36" s="32">
        <f t="shared" si="6"/>
        <v>0.11350000000000002</v>
      </c>
      <c r="J36" s="17">
        <f t="shared" si="7"/>
        <v>7.9500000000000015E-2</v>
      </c>
      <c r="K36" s="17">
        <f t="shared" si="8"/>
        <v>0.37349397590361449</v>
      </c>
      <c r="L36" s="18"/>
      <c r="M36" s="18"/>
      <c r="N36" s="18"/>
      <c r="O36" s="18"/>
    </row>
    <row r="37" spans="1:15">
      <c r="I37" s="16"/>
      <c r="J37" s="7"/>
      <c r="K37" s="17"/>
    </row>
    <row r="38" spans="1:15">
      <c r="D38" s="5"/>
      <c r="E38" s="5"/>
      <c r="F38" s="5"/>
      <c r="G38" s="5"/>
      <c r="H38" s="5"/>
      <c r="I38" s="5"/>
      <c r="J38" s="5"/>
      <c r="K38" s="5"/>
      <c r="L38" s="5"/>
      <c r="M38" s="5"/>
    </row>
  </sheetData>
  <mergeCells count="24">
    <mergeCell ref="A25:A30"/>
    <mergeCell ref="L25:L30"/>
    <mergeCell ref="M25:M30"/>
    <mergeCell ref="N25:N30"/>
    <mergeCell ref="O25:O30"/>
    <mergeCell ref="A31:A36"/>
    <mergeCell ref="L31:L36"/>
    <mergeCell ref="M31:M36"/>
    <mergeCell ref="N31:N36"/>
    <mergeCell ref="O31:O36"/>
    <mergeCell ref="A13:A18"/>
    <mergeCell ref="L13:L18"/>
    <mergeCell ref="M13:M18"/>
    <mergeCell ref="N13:N18"/>
    <mergeCell ref="O13:O18"/>
    <mergeCell ref="A19:A24"/>
    <mergeCell ref="L19:L24"/>
    <mergeCell ref="M19:M24"/>
    <mergeCell ref="A2:I2"/>
    <mergeCell ref="B3:C3"/>
    <mergeCell ref="E3:F3"/>
    <mergeCell ref="N11:O11"/>
    <mergeCell ref="C12:D12"/>
    <mergeCell ref="F12:G1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N46"/>
  <sheetViews>
    <sheetView zoomScale="85" zoomScaleNormal="85" workbookViewId="0">
      <selection activeCell="M12" sqref="M12"/>
    </sheetView>
  </sheetViews>
  <sheetFormatPr baseColWidth="10" defaultRowHeight="12.75"/>
  <cols>
    <col min="1" max="16384" width="11.42578125" style="50"/>
  </cols>
  <sheetData>
    <row r="2" spans="2:14">
      <c r="C2" s="51" t="s">
        <v>21</v>
      </c>
      <c r="D2" s="51" t="s">
        <v>22</v>
      </c>
      <c r="E2" s="51" t="s">
        <v>22</v>
      </c>
    </row>
    <row r="3" spans="2:14">
      <c r="B3" s="51" t="s">
        <v>2</v>
      </c>
      <c r="C3" s="52">
        <v>0.25800000000000001</v>
      </c>
      <c r="D3" s="53">
        <v>0.253</v>
      </c>
      <c r="E3" s="53">
        <v>0.251</v>
      </c>
    </row>
    <row r="4" spans="2:14">
      <c r="B4" s="51" t="s">
        <v>4</v>
      </c>
      <c r="C4" s="54">
        <v>0.26200000000000001</v>
      </c>
      <c r="D4" s="52">
        <v>0.30599999999999999</v>
      </c>
      <c r="E4" s="55">
        <v>0.27500000000000002</v>
      </c>
    </row>
    <row r="5" spans="2:14">
      <c r="B5" s="56" t="s">
        <v>23</v>
      </c>
      <c r="C5" s="50">
        <f>C4-C3</f>
        <v>4.0000000000000036E-3</v>
      </c>
      <c r="D5" s="50">
        <f t="shared" ref="D5:E5" si="0">D4-D3</f>
        <v>5.2999999999999992E-2</v>
      </c>
      <c r="E5" s="50">
        <f t="shared" si="0"/>
        <v>2.4000000000000021E-2</v>
      </c>
    </row>
    <row r="7" spans="2:14">
      <c r="B7" s="57" t="s">
        <v>24</v>
      </c>
      <c r="C7" s="58">
        <v>1</v>
      </c>
      <c r="D7" s="58">
        <v>2</v>
      </c>
      <c r="E7" s="58">
        <v>3</v>
      </c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8">
        <v>12</v>
      </c>
    </row>
    <row r="8" spans="2:14">
      <c r="B8" s="51" t="s">
        <v>2</v>
      </c>
      <c r="C8" s="52">
        <v>0.25600000000000001</v>
      </c>
      <c r="D8" s="53">
        <v>0.25</v>
      </c>
      <c r="E8" s="52">
        <v>0.26</v>
      </c>
      <c r="F8" s="53">
        <v>0.251</v>
      </c>
      <c r="G8" s="53">
        <v>0.251</v>
      </c>
      <c r="H8" s="53">
        <v>0.255</v>
      </c>
      <c r="I8" s="53">
        <v>0.25</v>
      </c>
      <c r="J8" s="52">
        <v>0.25800000000000001</v>
      </c>
      <c r="K8" s="53">
        <v>0.253</v>
      </c>
      <c r="L8" s="53">
        <v>0.248</v>
      </c>
      <c r="M8" s="53">
        <v>0.246</v>
      </c>
      <c r="N8" s="53">
        <v>0.249</v>
      </c>
    </row>
    <row r="9" spans="2:14">
      <c r="B9" s="51" t="s">
        <v>4</v>
      </c>
      <c r="C9" s="52">
        <v>0.29599999999999999</v>
      </c>
      <c r="D9" s="53">
        <v>0.28299999999999997</v>
      </c>
      <c r="E9" s="52">
        <v>0.30499999999999999</v>
      </c>
      <c r="F9" s="53">
        <v>0.28000000000000003</v>
      </c>
      <c r="G9" s="53">
        <v>0.28299999999999997</v>
      </c>
      <c r="H9" s="55">
        <v>0.26900000000000002</v>
      </c>
      <c r="I9" s="54">
        <v>0.26400000000000001</v>
      </c>
      <c r="J9" s="55">
        <v>0.27600000000000002</v>
      </c>
      <c r="K9" s="53">
        <v>0.28100000000000003</v>
      </c>
      <c r="L9" s="55">
        <v>0.27700000000000002</v>
      </c>
      <c r="M9" s="59">
        <v>0.32700000000000001</v>
      </c>
      <c r="N9" s="53">
        <v>0.28100000000000003</v>
      </c>
    </row>
    <row r="10" spans="2:14">
      <c r="B10" s="56" t="s">
        <v>23</v>
      </c>
      <c r="C10" s="50">
        <f>C9-C8</f>
        <v>3.999999999999998E-2</v>
      </c>
      <c r="D10" s="50">
        <f t="shared" ref="D10:N10" si="1">D9-D8</f>
        <v>3.2999999999999974E-2</v>
      </c>
      <c r="E10" s="50">
        <f>E9-E8</f>
        <v>4.4999999999999984E-2</v>
      </c>
      <c r="F10" s="50">
        <f t="shared" si="1"/>
        <v>2.9000000000000026E-2</v>
      </c>
      <c r="G10" s="50">
        <f t="shared" si="1"/>
        <v>3.1999999999999973E-2</v>
      </c>
      <c r="H10" s="50">
        <f t="shared" si="1"/>
        <v>1.4000000000000012E-2</v>
      </c>
      <c r="I10" s="50">
        <f t="shared" si="1"/>
        <v>1.4000000000000012E-2</v>
      </c>
      <c r="J10" s="50">
        <f t="shared" si="1"/>
        <v>1.8000000000000016E-2</v>
      </c>
      <c r="K10" s="50">
        <f t="shared" si="1"/>
        <v>2.8000000000000025E-2</v>
      </c>
      <c r="L10" s="50">
        <f t="shared" si="1"/>
        <v>2.9000000000000026E-2</v>
      </c>
      <c r="M10" s="50">
        <f t="shared" si="1"/>
        <v>8.1000000000000016E-2</v>
      </c>
      <c r="N10" s="50">
        <f t="shared" si="1"/>
        <v>3.2000000000000028E-2</v>
      </c>
    </row>
    <row r="11" spans="2:14">
      <c r="B11" s="56" t="s">
        <v>25</v>
      </c>
      <c r="C11" s="50">
        <f>C10-$C$5</f>
        <v>3.5999999999999976E-2</v>
      </c>
      <c r="D11" s="50">
        <f t="shared" ref="D11:N11" si="2">D10-$C$5</f>
        <v>2.899999999999997E-2</v>
      </c>
      <c r="E11" s="50">
        <f t="shared" si="2"/>
        <v>4.0999999999999981E-2</v>
      </c>
      <c r="F11" s="50">
        <f t="shared" si="2"/>
        <v>2.5000000000000022E-2</v>
      </c>
      <c r="G11" s="50">
        <f t="shared" si="2"/>
        <v>2.7999999999999969E-2</v>
      </c>
      <c r="H11" s="50">
        <f t="shared" si="2"/>
        <v>1.0000000000000009E-2</v>
      </c>
      <c r="I11" s="50">
        <f t="shared" si="2"/>
        <v>1.0000000000000009E-2</v>
      </c>
      <c r="J11" s="50">
        <f t="shared" si="2"/>
        <v>1.4000000000000012E-2</v>
      </c>
      <c r="K11" s="50">
        <f t="shared" si="2"/>
        <v>2.4000000000000021E-2</v>
      </c>
      <c r="L11" s="50">
        <f t="shared" si="2"/>
        <v>2.5000000000000022E-2</v>
      </c>
      <c r="M11" s="50">
        <f>M10-$C$5</f>
        <v>7.7000000000000013E-2</v>
      </c>
      <c r="N11" s="50">
        <f t="shared" si="2"/>
        <v>2.8000000000000025E-2</v>
      </c>
    </row>
    <row r="12" spans="2:14">
      <c r="B12" s="60" t="s">
        <v>26</v>
      </c>
      <c r="C12" s="61">
        <f>1.6078*C11</f>
        <v>5.7880799999999961E-2</v>
      </c>
      <c r="D12" s="61">
        <f t="shared" ref="D12:L12" si="3">1.6078*D11</f>
        <v>4.6626199999999951E-2</v>
      </c>
      <c r="E12" s="61">
        <f t="shared" si="3"/>
        <v>6.5919799999999959E-2</v>
      </c>
      <c r="F12" s="61">
        <f t="shared" si="3"/>
        <v>4.0195000000000036E-2</v>
      </c>
      <c r="G12" s="61">
        <f t="shared" si="3"/>
        <v>4.5018399999999945E-2</v>
      </c>
      <c r="H12" s="61">
        <f t="shared" si="3"/>
        <v>1.6078000000000012E-2</v>
      </c>
      <c r="I12" s="61">
        <f t="shared" si="3"/>
        <v>1.6078000000000012E-2</v>
      </c>
      <c r="J12" s="61">
        <f t="shared" si="3"/>
        <v>2.2509200000000017E-2</v>
      </c>
      <c r="K12" s="61">
        <f t="shared" si="3"/>
        <v>3.858720000000003E-2</v>
      </c>
      <c r="L12" s="61">
        <f t="shared" si="3"/>
        <v>4.0195000000000036E-2</v>
      </c>
      <c r="M12" s="61">
        <f>1.6078*M11</f>
        <v>0.12380060000000001</v>
      </c>
      <c r="N12" s="61">
        <f>1.6078*N11</f>
        <v>4.5018400000000035E-2</v>
      </c>
    </row>
    <row r="13" spans="2:14">
      <c r="B13" s="60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</row>
    <row r="14" spans="2:14">
      <c r="B14" s="57" t="s">
        <v>27</v>
      </c>
      <c r="C14" s="58">
        <v>13</v>
      </c>
      <c r="D14" s="58">
        <v>14</v>
      </c>
      <c r="E14" s="58">
        <v>15</v>
      </c>
      <c r="F14" s="58">
        <v>16</v>
      </c>
      <c r="G14" s="58">
        <v>17</v>
      </c>
      <c r="H14" s="58">
        <v>18</v>
      </c>
      <c r="I14" s="58">
        <v>19</v>
      </c>
      <c r="J14" s="58">
        <v>20</v>
      </c>
      <c r="K14" s="58">
        <v>21</v>
      </c>
      <c r="L14" s="58">
        <v>22</v>
      </c>
      <c r="M14" s="58">
        <v>23</v>
      </c>
      <c r="N14" s="58">
        <v>24</v>
      </c>
    </row>
    <row r="15" spans="2:14">
      <c r="B15" s="51" t="s">
        <v>2</v>
      </c>
      <c r="C15" s="62">
        <v>0.16500000000000001</v>
      </c>
      <c r="D15" s="55">
        <v>0.24299999999999999</v>
      </c>
      <c r="E15" s="53">
        <v>0.253</v>
      </c>
      <c r="F15" s="53">
        <v>0.25</v>
      </c>
      <c r="G15" s="53">
        <v>0.253</v>
      </c>
      <c r="H15" s="53">
        <v>0.248</v>
      </c>
      <c r="I15" s="59">
        <v>0.28100000000000003</v>
      </c>
      <c r="J15" s="55">
        <v>0.23499999999999999</v>
      </c>
      <c r="K15" s="52">
        <v>0.26</v>
      </c>
      <c r="L15" s="53">
        <v>0.247</v>
      </c>
      <c r="M15" s="55">
        <v>0.24299999999999999</v>
      </c>
      <c r="N15" s="55">
        <v>0.23599999999999999</v>
      </c>
    </row>
    <row r="16" spans="2:14">
      <c r="B16" s="51" t="s">
        <v>4</v>
      </c>
      <c r="C16" s="63">
        <v>0.17599999999999999</v>
      </c>
      <c r="D16" s="55">
        <v>0.27</v>
      </c>
      <c r="E16" s="53">
        <v>0.29399999999999998</v>
      </c>
      <c r="F16" s="55">
        <v>0.26600000000000001</v>
      </c>
      <c r="G16" s="55">
        <v>0.27300000000000002</v>
      </c>
      <c r="H16" s="55">
        <v>0.27</v>
      </c>
      <c r="I16" s="64">
        <v>0.318</v>
      </c>
      <c r="J16" s="53">
        <v>0.28999999999999998</v>
      </c>
      <c r="K16" s="53">
        <v>0.28199999999999997</v>
      </c>
      <c r="L16" s="55">
        <v>0.27700000000000002</v>
      </c>
      <c r="M16" s="54">
        <v>0.25900000000000001</v>
      </c>
      <c r="N16" s="54">
        <v>0.25600000000000001</v>
      </c>
    </row>
    <row r="17" spans="2:14">
      <c r="B17" s="56" t="s">
        <v>23</v>
      </c>
      <c r="C17" s="50">
        <f>C16-C15</f>
        <v>1.0999999999999982E-2</v>
      </c>
      <c r="D17" s="50">
        <f t="shared" ref="D17:N17" si="4">D16-D15</f>
        <v>2.7000000000000024E-2</v>
      </c>
      <c r="E17" s="50">
        <f t="shared" si="4"/>
        <v>4.0999999999999981E-2</v>
      </c>
      <c r="F17" s="50">
        <f t="shared" si="4"/>
        <v>1.6000000000000014E-2</v>
      </c>
      <c r="G17" s="50">
        <f t="shared" si="4"/>
        <v>2.0000000000000018E-2</v>
      </c>
      <c r="H17" s="50">
        <f t="shared" si="4"/>
        <v>2.200000000000002E-2</v>
      </c>
      <c r="I17" s="50">
        <f t="shared" si="4"/>
        <v>3.6999999999999977E-2</v>
      </c>
      <c r="J17" s="50">
        <f t="shared" si="4"/>
        <v>5.4999999999999993E-2</v>
      </c>
      <c r="K17" s="50">
        <f t="shared" si="4"/>
        <v>2.1999999999999964E-2</v>
      </c>
      <c r="L17" s="50">
        <f t="shared" si="4"/>
        <v>3.0000000000000027E-2</v>
      </c>
      <c r="M17" s="50">
        <f t="shared" si="4"/>
        <v>1.6000000000000014E-2</v>
      </c>
      <c r="N17" s="50">
        <f t="shared" si="4"/>
        <v>2.0000000000000018E-2</v>
      </c>
    </row>
    <row r="18" spans="2:14">
      <c r="B18" s="56" t="s">
        <v>25</v>
      </c>
      <c r="C18" s="50">
        <f>C17-$C$5</f>
        <v>6.9999999999999785E-3</v>
      </c>
      <c r="D18" s="50">
        <f t="shared" ref="D18:N18" si="5">D17-$C$5</f>
        <v>2.300000000000002E-2</v>
      </c>
      <c r="E18" s="50">
        <f t="shared" si="5"/>
        <v>3.6999999999999977E-2</v>
      </c>
      <c r="F18" s="50">
        <f t="shared" si="5"/>
        <v>1.2000000000000011E-2</v>
      </c>
      <c r="G18" s="50">
        <f t="shared" si="5"/>
        <v>1.6000000000000014E-2</v>
      </c>
      <c r="H18" s="50">
        <f t="shared" si="5"/>
        <v>1.8000000000000016E-2</v>
      </c>
      <c r="I18" s="50">
        <f t="shared" si="5"/>
        <v>3.2999999999999974E-2</v>
      </c>
      <c r="J18" s="50">
        <f t="shared" si="5"/>
        <v>5.099999999999999E-2</v>
      </c>
      <c r="K18" s="50">
        <f t="shared" si="5"/>
        <v>1.799999999999996E-2</v>
      </c>
      <c r="L18" s="50">
        <f t="shared" si="5"/>
        <v>2.6000000000000023E-2</v>
      </c>
      <c r="M18" s="50">
        <f t="shared" si="5"/>
        <v>1.2000000000000011E-2</v>
      </c>
      <c r="N18" s="50">
        <f t="shared" si="5"/>
        <v>1.6000000000000014E-2</v>
      </c>
    </row>
    <row r="19" spans="2:14">
      <c r="B19" s="60" t="s">
        <v>26</v>
      </c>
      <c r="C19" s="61">
        <f>1.6078*C18</f>
        <v>1.1254599999999965E-2</v>
      </c>
      <c r="D19" s="61">
        <f t="shared" ref="D19:N19" si="6">1.6078*D18</f>
        <v>3.697940000000003E-2</v>
      </c>
      <c r="E19" s="61">
        <f t="shared" si="6"/>
        <v>5.9488599999999961E-2</v>
      </c>
      <c r="F19" s="61">
        <f t="shared" si="6"/>
        <v>1.9293600000000015E-2</v>
      </c>
      <c r="G19" s="61">
        <f t="shared" si="6"/>
        <v>2.572480000000002E-2</v>
      </c>
      <c r="H19" s="61">
        <f t="shared" si="6"/>
        <v>2.8940400000000022E-2</v>
      </c>
      <c r="I19" s="61">
        <f t="shared" si="6"/>
        <v>5.3057399999999956E-2</v>
      </c>
      <c r="J19" s="61">
        <f t="shared" si="6"/>
        <v>8.1997799999999982E-2</v>
      </c>
      <c r="K19" s="61">
        <f t="shared" si="6"/>
        <v>2.8940399999999936E-2</v>
      </c>
      <c r="L19" s="61">
        <f t="shared" si="6"/>
        <v>4.1802800000000036E-2</v>
      </c>
      <c r="M19" s="61">
        <f t="shared" si="6"/>
        <v>1.9293600000000015E-2</v>
      </c>
      <c r="N19" s="61">
        <f t="shared" si="6"/>
        <v>2.572480000000002E-2</v>
      </c>
    </row>
    <row r="21" spans="2:14">
      <c r="B21" s="57" t="s">
        <v>28</v>
      </c>
      <c r="C21" s="58">
        <v>1</v>
      </c>
      <c r="D21" s="58">
        <v>2</v>
      </c>
      <c r="E21" s="58">
        <v>3</v>
      </c>
      <c r="F21" s="58">
        <v>4</v>
      </c>
      <c r="G21" s="58">
        <v>5</v>
      </c>
      <c r="H21" s="58">
        <v>6</v>
      </c>
      <c r="I21" s="58">
        <v>7</v>
      </c>
      <c r="J21" s="58">
        <v>8</v>
      </c>
      <c r="K21" s="58">
        <v>9</v>
      </c>
      <c r="L21" s="58">
        <v>10</v>
      </c>
      <c r="M21" s="58">
        <v>11</v>
      </c>
      <c r="N21" s="58">
        <v>12</v>
      </c>
    </row>
    <row r="22" spans="2:14">
      <c r="B22" s="51" t="s">
        <v>2</v>
      </c>
      <c r="C22" s="53">
        <v>0.251</v>
      </c>
      <c r="D22" s="53">
        <v>0.254</v>
      </c>
      <c r="E22" s="55">
        <v>0.23699999999999999</v>
      </c>
      <c r="F22" s="52">
        <v>0.25600000000000001</v>
      </c>
      <c r="G22" s="53">
        <v>0.247</v>
      </c>
      <c r="H22" s="52">
        <v>0.26400000000000001</v>
      </c>
      <c r="I22" s="64">
        <v>0.27100000000000002</v>
      </c>
      <c r="J22" s="64">
        <v>0.27200000000000002</v>
      </c>
      <c r="K22" s="64">
        <v>0.27700000000000002</v>
      </c>
      <c r="L22" s="53">
        <v>0.254</v>
      </c>
      <c r="M22" s="53">
        <v>0.254</v>
      </c>
      <c r="N22" s="52">
        <v>0.26500000000000001</v>
      </c>
    </row>
    <row r="23" spans="2:14">
      <c r="B23" s="51" t="s">
        <v>4</v>
      </c>
      <c r="C23" s="55">
        <v>0.27</v>
      </c>
      <c r="D23" s="53">
        <v>0.28299999999999997</v>
      </c>
      <c r="E23" s="55">
        <v>0.26800000000000002</v>
      </c>
      <c r="F23" s="52">
        <v>0.30099999999999999</v>
      </c>
      <c r="G23" s="53">
        <v>0.28299999999999997</v>
      </c>
      <c r="H23" s="52">
        <v>0.3</v>
      </c>
      <c r="I23" s="64">
        <v>0.315</v>
      </c>
      <c r="J23" s="52">
        <v>0.30399999999999999</v>
      </c>
      <c r="K23" s="52">
        <v>0.29599999999999999</v>
      </c>
      <c r="L23" s="65">
        <v>0.35599999999999998</v>
      </c>
      <c r="M23" s="55">
        <v>0.27900000000000003</v>
      </c>
      <c r="N23" s="52">
        <v>0.29799999999999999</v>
      </c>
    </row>
    <row r="24" spans="2:14">
      <c r="B24" s="56" t="s">
        <v>23</v>
      </c>
      <c r="C24" s="50">
        <f>C23-C22</f>
        <v>1.9000000000000017E-2</v>
      </c>
      <c r="D24" s="50">
        <f t="shared" ref="D24:N24" si="7">D23-D22</f>
        <v>2.899999999999997E-2</v>
      </c>
      <c r="E24" s="50">
        <f t="shared" si="7"/>
        <v>3.1000000000000028E-2</v>
      </c>
      <c r="F24" s="50">
        <f t="shared" si="7"/>
        <v>4.4999999999999984E-2</v>
      </c>
      <c r="G24" s="50">
        <f t="shared" si="7"/>
        <v>3.5999999999999976E-2</v>
      </c>
      <c r="H24" s="50">
        <f t="shared" si="7"/>
        <v>3.5999999999999976E-2</v>
      </c>
      <c r="I24" s="50">
        <f t="shared" si="7"/>
        <v>4.3999999999999984E-2</v>
      </c>
      <c r="J24" s="50">
        <f t="shared" si="7"/>
        <v>3.1999999999999973E-2</v>
      </c>
      <c r="K24" s="50">
        <f t="shared" si="7"/>
        <v>1.8999999999999961E-2</v>
      </c>
      <c r="L24" s="50">
        <f t="shared" si="7"/>
        <v>0.10199999999999998</v>
      </c>
      <c r="M24" s="50">
        <f t="shared" si="7"/>
        <v>2.5000000000000022E-2</v>
      </c>
      <c r="N24" s="50">
        <f t="shared" si="7"/>
        <v>3.2999999999999974E-2</v>
      </c>
    </row>
    <row r="25" spans="2:14">
      <c r="B25" s="56" t="s">
        <v>25</v>
      </c>
      <c r="C25" s="50">
        <f>C24-$C$5</f>
        <v>1.5000000000000013E-2</v>
      </c>
      <c r="D25" s="50">
        <f t="shared" ref="D25:N25" si="8">D24-$C$5</f>
        <v>2.4999999999999967E-2</v>
      </c>
      <c r="E25" s="50">
        <f t="shared" si="8"/>
        <v>2.7000000000000024E-2</v>
      </c>
      <c r="F25" s="50">
        <f t="shared" si="8"/>
        <v>4.0999999999999981E-2</v>
      </c>
      <c r="G25" s="50">
        <f t="shared" si="8"/>
        <v>3.1999999999999973E-2</v>
      </c>
      <c r="H25" s="50">
        <f t="shared" si="8"/>
        <v>3.1999999999999973E-2</v>
      </c>
      <c r="I25" s="50">
        <f t="shared" si="8"/>
        <v>3.999999999999998E-2</v>
      </c>
      <c r="J25" s="50">
        <f t="shared" si="8"/>
        <v>2.7999999999999969E-2</v>
      </c>
      <c r="K25" s="50">
        <f t="shared" si="8"/>
        <v>1.4999999999999958E-2</v>
      </c>
      <c r="L25" s="50">
        <f t="shared" si="8"/>
        <v>9.7999999999999976E-2</v>
      </c>
      <c r="M25" s="50">
        <f t="shared" si="8"/>
        <v>2.1000000000000019E-2</v>
      </c>
      <c r="N25" s="50">
        <f t="shared" si="8"/>
        <v>2.899999999999997E-2</v>
      </c>
    </row>
    <row r="26" spans="2:14">
      <c r="B26" s="60" t="s">
        <v>26</v>
      </c>
      <c r="C26" s="61">
        <f>1.6078*C25</f>
        <v>2.411700000000002E-2</v>
      </c>
      <c r="D26" s="61">
        <f t="shared" ref="D26:N26" si="9">1.6078*D25</f>
        <v>4.0194999999999946E-2</v>
      </c>
      <c r="E26" s="61">
        <f t="shared" si="9"/>
        <v>4.3410600000000035E-2</v>
      </c>
      <c r="F26" s="61">
        <f t="shared" si="9"/>
        <v>6.5919799999999959E-2</v>
      </c>
      <c r="G26" s="61">
        <f t="shared" si="9"/>
        <v>5.1449599999999956E-2</v>
      </c>
      <c r="H26" s="61">
        <f t="shared" si="9"/>
        <v>5.1449599999999956E-2</v>
      </c>
      <c r="I26" s="61">
        <f t="shared" si="9"/>
        <v>6.4311999999999966E-2</v>
      </c>
      <c r="J26" s="61">
        <f t="shared" si="9"/>
        <v>4.5018399999999945E-2</v>
      </c>
      <c r="K26" s="61">
        <f t="shared" si="9"/>
        <v>2.411699999999993E-2</v>
      </c>
      <c r="L26" s="61">
        <f t="shared" si="9"/>
        <v>0.15756439999999994</v>
      </c>
      <c r="M26" s="61">
        <f t="shared" si="9"/>
        <v>3.3763800000000024E-2</v>
      </c>
      <c r="N26" s="61">
        <f t="shared" si="9"/>
        <v>4.6626199999999951E-2</v>
      </c>
    </row>
    <row r="27" spans="2:14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</row>
    <row r="28" spans="2:14">
      <c r="B28" s="57" t="s">
        <v>29</v>
      </c>
      <c r="C28" s="58">
        <v>1</v>
      </c>
      <c r="D28" s="58">
        <v>2</v>
      </c>
      <c r="E28" s="58">
        <v>3</v>
      </c>
      <c r="F28" s="58">
        <v>4</v>
      </c>
      <c r="G28" s="58">
        <v>5</v>
      </c>
      <c r="H28" s="58">
        <v>6</v>
      </c>
      <c r="I28" s="58">
        <v>7</v>
      </c>
      <c r="J28" s="58">
        <v>8</v>
      </c>
      <c r="K28" s="58">
        <v>9</v>
      </c>
      <c r="L28" s="58">
        <v>10</v>
      </c>
      <c r="M28" s="58">
        <v>11</v>
      </c>
      <c r="N28" s="58">
        <v>12</v>
      </c>
    </row>
    <row r="29" spans="2:14">
      <c r="B29" s="51" t="s">
        <v>2</v>
      </c>
      <c r="C29" s="52">
        <v>0.26300000000000001</v>
      </c>
      <c r="D29" s="64">
        <v>0.27</v>
      </c>
      <c r="E29" s="64">
        <v>0.27300000000000002</v>
      </c>
      <c r="F29" s="64">
        <v>0.27500000000000002</v>
      </c>
      <c r="G29" s="65">
        <v>0.30099999999999999</v>
      </c>
      <c r="H29" s="64">
        <v>0.27600000000000002</v>
      </c>
      <c r="I29" s="64">
        <v>0.27500000000000002</v>
      </c>
      <c r="J29" s="64">
        <v>0.27400000000000002</v>
      </c>
      <c r="K29" s="64">
        <v>0.27400000000000002</v>
      </c>
      <c r="L29" s="64">
        <v>0.27500000000000002</v>
      </c>
      <c r="M29" s="64">
        <v>0.27600000000000002</v>
      </c>
      <c r="N29" s="64">
        <v>0.27300000000000002</v>
      </c>
    </row>
    <row r="30" spans="2:14">
      <c r="B30" s="51" t="s">
        <v>4</v>
      </c>
      <c r="C30" s="52">
        <v>0.29899999999999999</v>
      </c>
      <c r="D30" s="53">
        <v>0.29499999999999998</v>
      </c>
      <c r="E30" s="64">
        <v>0.31900000000000001</v>
      </c>
      <c r="F30" s="64">
        <v>0.311</v>
      </c>
      <c r="G30" s="59">
        <v>0.33100000000000002</v>
      </c>
      <c r="H30" s="52">
        <v>0.30299999999999999</v>
      </c>
      <c r="I30" s="53">
        <v>0.29299999999999998</v>
      </c>
      <c r="J30" s="64">
        <v>0.311</v>
      </c>
      <c r="K30" s="64">
        <v>0.311</v>
      </c>
      <c r="L30" s="64">
        <v>0.32</v>
      </c>
      <c r="M30" s="65">
        <v>0.34699999999999998</v>
      </c>
      <c r="N30" s="64">
        <v>0.315</v>
      </c>
    </row>
    <row r="31" spans="2:14">
      <c r="B31" s="56" t="s">
        <v>23</v>
      </c>
      <c r="C31" s="50">
        <f>C30-C29</f>
        <v>3.5999999999999976E-2</v>
      </c>
      <c r="D31" s="50">
        <f t="shared" ref="D31" si="10">D30-D29</f>
        <v>2.4999999999999967E-2</v>
      </c>
      <c r="E31" s="50">
        <f>E30-E29</f>
        <v>4.5999999999999985E-2</v>
      </c>
      <c r="F31" s="50">
        <f t="shared" ref="F31:N31" si="11">F30-F29</f>
        <v>3.5999999999999976E-2</v>
      </c>
      <c r="G31" s="50">
        <f t="shared" si="11"/>
        <v>3.0000000000000027E-2</v>
      </c>
      <c r="H31" s="50">
        <f t="shared" si="11"/>
        <v>2.6999999999999968E-2</v>
      </c>
      <c r="I31" s="50">
        <f t="shared" si="11"/>
        <v>1.799999999999996E-2</v>
      </c>
      <c r="J31" s="50">
        <f t="shared" si="11"/>
        <v>3.6999999999999977E-2</v>
      </c>
      <c r="K31" s="50">
        <f t="shared" si="11"/>
        <v>3.6999999999999977E-2</v>
      </c>
      <c r="L31" s="50">
        <f t="shared" si="11"/>
        <v>4.4999999999999984E-2</v>
      </c>
      <c r="M31" s="50">
        <f t="shared" si="11"/>
        <v>7.0999999999999952E-2</v>
      </c>
      <c r="N31" s="50">
        <f t="shared" si="11"/>
        <v>4.1999999999999982E-2</v>
      </c>
    </row>
    <row r="32" spans="2:14">
      <c r="B32" s="56" t="s">
        <v>25</v>
      </c>
      <c r="C32" s="50">
        <f>C31-$C$5</f>
        <v>3.1999999999999973E-2</v>
      </c>
      <c r="D32" s="50">
        <f t="shared" ref="D32:N32" si="12">D31-$C$5</f>
        <v>2.0999999999999963E-2</v>
      </c>
      <c r="E32" s="50">
        <f t="shared" si="12"/>
        <v>4.1999999999999982E-2</v>
      </c>
      <c r="F32" s="50">
        <f t="shared" si="12"/>
        <v>3.1999999999999973E-2</v>
      </c>
      <c r="G32" s="50">
        <f t="shared" si="12"/>
        <v>2.6000000000000023E-2</v>
      </c>
      <c r="H32" s="50">
        <f t="shared" si="12"/>
        <v>2.2999999999999965E-2</v>
      </c>
      <c r="I32" s="50">
        <f t="shared" si="12"/>
        <v>1.3999999999999957E-2</v>
      </c>
      <c r="J32" s="50">
        <f t="shared" si="12"/>
        <v>3.2999999999999974E-2</v>
      </c>
      <c r="K32" s="50">
        <f t="shared" si="12"/>
        <v>3.2999999999999974E-2</v>
      </c>
      <c r="L32" s="50">
        <f t="shared" si="12"/>
        <v>4.0999999999999981E-2</v>
      </c>
      <c r="M32" s="50">
        <f t="shared" si="12"/>
        <v>6.6999999999999948E-2</v>
      </c>
      <c r="N32" s="50">
        <f t="shared" si="12"/>
        <v>3.7999999999999978E-2</v>
      </c>
    </row>
    <row r="33" spans="2:14">
      <c r="B33" s="60" t="s">
        <v>26</v>
      </c>
      <c r="C33" s="61">
        <f>1.6078*C32</f>
        <v>5.1449599999999956E-2</v>
      </c>
      <c r="D33" s="61">
        <f t="shared" ref="D33:N33" si="13">1.6078*D32</f>
        <v>3.3763799999999941E-2</v>
      </c>
      <c r="E33" s="61">
        <f t="shared" si="13"/>
        <v>6.7527599999999965E-2</v>
      </c>
      <c r="F33" s="61">
        <f t="shared" si="13"/>
        <v>5.1449599999999956E-2</v>
      </c>
      <c r="G33" s="61">
        <f t="shared" si="13"/>
        <v>4.1802800000000036E-2</v>
      </c>
      <c r="H33" s="61">
        <f t="shared" si="13"/>
        <v>3.697939999999994E-2</v>
      </c>
      <c r="I33" s="61">
        <f t="shared" si="13"/>
        <v>2.2509199999999931E-2</v>
      </c>
      <c r="J33" s="61">
        <f t="shared" si="13"/>
        <v>5.3057399999999956E-2</v>
      </c>
      <c r="K33" s="61">
        <f t="shared" si="13"/>
        <v>5.3057399999999956E-2</v>
      </c>
      <c r="L33" s="61">
        <f t="shared" si="13"/>
        <v>6.5919799999999959E-2</v>
      </c>
      <c r="M33" s="61">
        <f t="shared" si="13"/>
        <v>0.1077225999999999</v>
      </c>
      <c r="N33" s="61">
        <f t="shared" si="13"/>
        <v>6.109639999999996E-2</v>
      </c>
    </row>
    <row r="38" spans="2:14"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39" spans="2:14"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</row>
    <row r="40" spans="2:14">
      <c r="B40" s="67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</row>
    <row r="41" spans="2:14">
      <c r="B41" s="68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</row>
    <row r="42" spans="2:14">
      <c r="B42" s="68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2:14">
      <c r="B43" s="68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</row>
    <row r="44" spans="2:14">
      <c r="B44" s="68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2:14">
      <c r="B45" s="68"/>
      <c r="C45" s="66"/>
      <c r="D45" s="66"/>
      <c r="E45" s="66"/>
      <c r="F45" s="69"/>
      <c r="G45" s="69"/>
      <c r="H45" s="69"/>
      <c r="I45" s="69"/>
      <c r="J45" s="69"/>
      <c r="K45" s="69"/>
      <c r="L45" s="69"/>
      <c r="M45" s="69"/>
      <c r="N45" s="69"/>
    </row>
    <row r="46" spans="2:14"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N42"/>
  <sheetViews>
    <sheetView zoomScale="70" zoomScaleNormal="70" workbookViewId="0">
      <selection activeCell="L13" sqref="L13"/>
    </sheetView>
  </sheetViews>
  <sheetFormatPr baseColWidth="10" defaultRowHeight="12.75"/>
  <cols>
    <col min="1" max="16384" width="11.42578125" style="50"/>
  </cols>
  <sheetData>
    <row r="2" spans="1:13">
      <c r="B2" s="51" t="s">
        <v>21</v>
      </c>
      <c r="C2" s="51" t="s">
        <v>22</v>
      </c>
      <c r="D2" s="51" t="s">
        <v>22</v>
      </c>
    </row>
    <row r="3" spans="1:13">
      <c r="A3" s="51" t="s">
        <v>2</v>
      </c>
      <c r="B3" s="63">
        <v>0.315</v>
      </c>
      <c r="C3" s="63">
        <v>0.36399999999999999</v>
      </c>
      <c r="D3" s="70">
        <v>0.50900000000000001</v>
      </c>
    </row>
    <row r="4" spans="1:13">
      <c r="A4" s="51" t="s">
        <v>4</v>
      </c>
      <c r="B4" s="63">
        <v>0.313</v>
      </c>
      <c r="C4" s="71">
        <v>0.6</v>
      </c>
      <c r="D4" s="72">
        <v>0.72599999999999998</v>
      </c>
    </row>
    <row r="5" spans="1:13">
      <c r="A5" s="56" t="s">
        <v>23</v>
      </c>
      <c r="B5" s="50">
        <v>0</v>
      </c>
      <c r="C5" s="50">
        <f t="shared" ref="C5:D5" si="0">C4-C3</f>
        <v>0.23599999999999999</v>
      </c>
      <c r="D5" s="50">
        <f t="shared" si="0"/>
        <v>0.21699999999999997</v>
      </c>
    </row>
    <row r="7" spans="1:13">
      <c r="A7" s="57" t="s">
        <v>24</v>
      </c>
      <c r="B7" s="58">
        <v>1</v>
      </c>
      <c r="C7" s="58">
        <v>2</v>
      </c>
      <c r="D7" s="58">
        <v>3</v>
      </c>
      <c r="E7" s="58">
        <v>4</v>
      </c>
      <c r="F7" s="58">
        <v>5</v>
      </c>
      <c r="G7" s="58">
        <v>6</v>
      </c>
      <c r="H7" s="58">
        <v>7</v>
      </c>
      <c r="I7" s="58">
        <v>8</v>
      </c>
      <c r="J7" s="58">
        <v>9</v>
      </c>
      <c r="K7" s="58">
        <v>10</v>
      </c>
      <c r="L7" s="58">
        <v>11</v>
      </c>
      <c r="M7" s="58">
        <v>12</v>
      </c>
    </row>
    <row r="8" spans="1:13">
      <c r="A8" s="51" t="s">
        <v>2</v>
      </c>
      <c r="B8" s="71">
        <v>0.55500000000000005</v>
      </c>
      <c r="C8" s="55">
        <v>0.80400000000000005</v>
      </c>
      <c r="D8" s="70">
        <v>0.51300000000000001</v>
      </c>
      <c r="E8" s="70">
        <v>0.49099999999999999</v>
      </c>
      <c r="F8" s="54">
        <v>0.751</v>
      </c>
      <c r="G8" s="70">
        <v>0.47099999999999997</v>
      </c>
      <c r="H8" s="71">
        <v>0.55500000000000005</v>
      </c>
      <c r="I8" s="54">
        <v>0.73599999999999999</v>
      </c>
      <c r="J8" s="71">
        <v>0.61099999999999999</v>
      </c>
      <c r="K8" s="55">
        <v>0.79200000000000004</v>
      </c>
      <c r="L8" s="70">
        <v>0.52400000000000002</v>
      </c>
      <c r="M8" s="54">
        <v>0.72099999999999997</v>
      </c>
    </row>
    <row r="9" spans="1:13">
      <c r="A9" s="51" t="s">
        <v>4</v>
      </c>
      <c r="B9" s="70">
        <v>0.49099999999999999</v>
      </c>
      <c r="C9" s="55">
        <v>0.89200000000000002</v>
      </c>
      <c r="D9" s="71">
        <v>0.60499999999999998</v>
      </c>
      <c r="E9" s="72">
        <v>0.65900000000000003</v>
      </c>
      <c r="F9" s="54">
        <v>0.80400000000000005</v>
      </c>
      <c r="G9" s="71">
        <v>0.57899999999999996</v>
      </c>
      <c r="H9" s="72">
        <v>0.72199999999999998</v>
      </c>
      <c r="I9" s="55">
        <v>0.86699999999999999</v>
      </c>
      <c r="J9" s="70">
        <v>0.52300000000000002</v>
      </c>
      <c r="K9" s="55">
        <v>0.84</v>
      </c>
      <c r="L9" s="71">
        <v>0.58499999999999996</v>
      </c>
      <c r="M9" s="54">
        <v>0.80300000000000005</v>
      </c>
    </row>
    <row r="10" spans="1:13">
      <c r="A10" s="56" t="s">
        <v>23</v>
      </c>
      <c r="B10" s="50">
        <f>B9-B8</f>
        <v>-6.4000000000000057E-2</v>
      </c>
      <c r="C10" s="50">
        <f t="shared" ref="C10:M10" si="1">C9-C8</f>
        <v>8.7999999999999967E-2</v>
      </c>
      <c r="D10" s="50">
        <f>D9-D8</f>
        <v>9.1999999999999971E-2</v>
      </c>
      <c r="E10" s="50">
        <f t="shared" si="1"/>
        <v>0.16800000000000004</v>
      </c>
      <c r="F10" s="50">
        <f t="shared" si="1"/>
        <v>5.3000000000000047E-2</v>
      </c>
      <c r="G10" s="50">
        <f t="shared" si="1"/>
        <v>0.10799999999999998</v>
      </c>
      <c r="H10" s="50">
        <f t="shared" si="1"/>
        <v>0.16699999999999993</v>
      </c>
      <c r="I10" s="50">
        <f t="shared" si="1"/>
        <v>0.13100000000000001</v>
      </c>
      <c r="J10" s="50">
        <f t="shared" si="1"/>
        <v>-8.7999999999999967E-2</v>
      </c>
      <c r="K10" s="50">
        <f t="shared" si="1"/>
        <v>4.7999999999999932E-2</v>
      </c>
      <c r="L10" s="50">
        <f t="shared" si="1"/>
        <v>6.0999999999999943E-2</v>
      </c>
      <c r="M10" s="50">
        <f t="shared" si="1"/>
        <v>8.2000000000000073E-2</v>
      </c>
    </row>
    <row r="11" spans="1:13">
      <c r="A11" s="56" t="s">
        <v>25</v>
      </c>
      <c r="B11" s="50">
        <f>B10-$B$5</f>
        <v>-6.4000000000000057E-2</v>
      </c>
      <c r="C11" s="50">
        <f t="shared" ref="C11:M11" si="2">C10-$B$5</f>
        <v>8.7999999999999967E-2</v>
      </c>
      <c r="D11" s="50">
        <f t="shared" si="2"/>
        <v>9.1999999999999971E-2</v>
      </c>
      <c r="E11" s="50">
        <f t="shared" si="2"/>
        <v>0.16800000000000004</v>
      </c>
      <c r="F11" s="50">
        <f t="shared" si="2"/>
        <v>5.3000000000000047E-2</v>
      </c>
      <c r="G11" s="50">
        <f t="shared" si="2"/>
        <v>0.10799999999999998</v>
      </c>
      <c r="H11" s="50">
        <f t="shared" si="2"/>
        <v>0.16699999999999993</v>
      </c>
      <c r="I11" s="50">
        <f t="shared" si="2"/>
        <v>0.13100000000000001</v>
      </c>
      <c r="J11" s="50">
        <f t="shared" si="2"/>
        <v>-8.7999999999999967E-2</v>
      </c>
      <c r="K11" s="50">
        <f t="shared" si="2"/>
        <v>4.7999999999999932E-2</v>
      </c>
      <c r="L11" s="50">
        <f t="shared" si="2"/>
        <v>6.0999999999999943E-2</v>
      </c>
      <c r="M11" s="50">
        <f t="shared" si="2"/>
        <v>8.2000000000000073E-2</v>
      </c>
    </row>
    <row r="12" spans="1:13">
      <c r="A12" s="60" t="s">
        <v>26</v>
      </c>
      <c r="B12" s="61">
        <f>1.93*B11</f>
        <v>-0.1235200000000001</v>
      </c>
      <c r="C12" s="61">
        <f t="shared" ref="C12:M12" si="3">1.93*C11</f>
        <v>0.16983999999999994</v>
      </c>
      <c r="D12" s="61">
        <f t="shared" si="3"/>
        <v>0.17755999999999994</v>
      </c>
      <c r="E12" s="61">
        <f t="shared" si="3"/>
        <v>0.32424000000000008</v>
      </c>
      <c r="F12" s="61">
        <f t="shared" si="3"/>
        <v>0.10229000000000009</v>
      </c>
      <c r="G12" s="61">
        <f t="shared" si="3"/>
        <v>0.20843999999999996</v>
      </c>
      <c r="H12" s="61">
        <f t="shared" si="3"/>
        <v>0.32230999999999987</v>
      </c>
      <c r="I12" s="61">
        <f t="shared" si="3"/>
        <v>0.25283</v>
      </c>
      <c r="J12" s="61">
        <f t="shared" si="3"/>
        <v>-0.16983999999999994</v>
      </c>
      <c r="K12" s="61">
        <f t="shared" si="3"/>
        <v>9.2639999999999861E-2</v>
      </c>
      <c r="L12" s="61">
        <f>1.93*L11</f>
        <v>0.11772999999999989</v>
      </c>
      <c r="M12" s="61">
        <f t="shared" si="3"/>
        <v>0.15826000000000012</v>
      </c>
    </row>
    <row r="13" spans="1:13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>
      <c r="A14" s="57" t="s">
        <v>27</v>
      </c>
      <c r="B14" s="58">
        <v>13</v>
      </c>
      <c r="C14" s="58">
        <v>14</v>
      </c>
      <c r="D14" s="58">
        <v>15</v>
      </c>
      <c r="E14" s="58">
        <v>16</v>
      </c>
      <c r="F14" s="58">
        <v>17</v>
      </c>
      <c r="G14" s="58">
        <v>18</v>
      </c>
      <c r="H14" s="58">
        <v>19</v>
      </c>
      <c r="I14" s="58">
        <v>20</v>
      </c>
      <c r="J14" s="58">
        <v>21</v>
      </c>
      <c r="K14" s="58">
        <v>22</v>
      </c>
      <c r="L14" s="58">
        <v>23</v>
      </c>
      <c r="M14" s="58">
        <v>24</v>
      </c>
    </row>
    <row r="15" spans="1:13">
      <c r="A15" s="51" t="s">
        <v>2</v>
      </c>
      <c r="B15" s="73">
        <v>0.42699999999999999</v>
      </c>
      <c r="C15" s="71">
        <v>0.54200000000000004</v>
      </c>
      <c r="D15" s="54">
        <v>0.71299999999999997</v>
      </c>
      <c r="E15" s="70">
        <v>0.46200000000000002</v>
      </c>
      <c r="F15" s="73">
        <v>0.42499999999999999</v>
      </c>
      <c r="G15" s="73">
        <v>0.45</v>
      </c>
      <c r="H15" s="73">
        <v>0.41299999999999998</v>
      </c>
      <c r="I15" s="72">
        <v>0.69099999999999995</v>
      </c>
      <c r="J15" s="52">
        <v>0.98499999999999999</v>
      </c>
      <c r="K15" s="70">
        <v>0.47399999999999998</v>
      </c>
      <c r="L15" s="70">
        <v>0.52200000000000002</v>
      </c>
      <c r="M15" s="54">
        <v>0.75700000000000001</v>
      </c>
    </row>
    <row r="16" spans="1:13">
      <c r="A16" s="51" t="s">
        <v>4</v>
      </c>
      <c r="B16" s="72">
        <v>0.64900000000000002</v>
      </c>
      <c r="C16" s="71">
        <v>0.629</v>
      </c>
      <c r="D16" s="54">
        <v>0.79200000000000004</v>
      </c>
      <c r="E16" s="71">
        <v>0.57199999999999995</v>
      </c>
      <c r="F16" s="70">
        <v>0.53300000000000003</v>
      </c>
      <c r="G16" s="73">
        <v>0.47199999999999998</v>
      </c>
      <c r="H16" s="70">
        <v>0.498</v>
      </c>
      <c r="I16" s="54">
        <v>0.747</v>
      </c>
      <c r="J16" s="52">
        <v>1.0229999999999999</v>
      </c>
      <c r="K16" s="70">
        <v>0.54300000000000004</v>
      </c>
      <c r="L16" s="71">
        <v>0.58399999999999996</v>
      </c>
      <c r="M16" s="54">
        <v>0.80400000000000005</v>
      </c>
    </row>
    <row r="17" spans="1:13">
      <c r="A17" s="56" t="s">
        <v>23</v>
      </c>
      <c r="B17" s="50">
        <f>B16-B15</f>
        <v>0.22200000000000003</v>
      </c>
      <c r="C17" s="50">
        <f t="shared" ref="C17" si="4">C16-C15</f>
        <v>8.6999999999999966E-2</v>
      </c>
      <c r="D17" s="50">
        <f>D16-D15</f>
        <v>7.900000000000007E-2</v>
      </c>
      <c r="E17" s="50">
        <f t="shared" ref="E17:M17" si="5">E16-E15</f>
        <v>0.10999999999999993</v>
      </c>
      <c r="F17" s="50">
        <f t="shared" si="5"/>
        <v>0.10800000000000004</v>
      </c>
      <c r="G17" s="50">
        <f t="shared" si="5"/>
        <v>2.1999999999999964E-2</v>
      </c>
      <c r="H17" s="50">
        <f t="shared" si="5"/>
        <v>8.500000000000002E-2</v>
      </c>
      <c r="I17" s="50">
        <f t="shared" si="5"/>
        <v>5.600000000000005E-2</v>
      </c>
      <c r="J17" s="50">
        <f t="shared" si="5"/>
        <v>3.7999999999999923E-2</v>
      </c>
      <c r="K17" s="50">
        <f t="shared" si="5"/>
        <v>6.9000000000000061E-2</v>
      </c>
      <c r="L17" s="50">
        <f t="shared" si="5"/>
        <v>6.1999999999999944E-2</v>
      </c>
      <c r="M17" s="50">
        <f t="shared" si="5"/>
        <v>4.7000000000000042E-2</v>
      </c>
    </row>
    <row r="18" spans="1:13">
      <c r="A18" s="56" t="s">
        <v>25</v>
      </c>
      <c r="B18" s="50">
        <f>B17-$B$5</f>
        <v>0.22200000000000003</v>
      </c>
      <c r="C18" s="50">
        <f t="shared" ref="C18:M18" si="6">C17-$B$5</f>
        <v>8.6999999999999966E-2</v>
      </c>
      <c r="D18" s="50">
        <f t="shared" si="6"/>
        <v>7.900000000000007E-2</v>
      </c>
      <c r="E18" s="50">
        <f t="shared" si="6"/>
        <v>0.10999999999999993</v>
      </c>
      <c r="F18" s="50">
        <f t="shared" si="6"/>
        <v>0.10800000000000004</v>
      </c>
      <c r="G18" s="50">
        <f t="shared" si="6"/>
        <v>2.1999999999999964E-2</v>
      </c>
      <c r="H18" s="50">
        <f t="shared" si="6"/>
        <v>8.500000000000002E-2</v>
      </c>
      <c r="I18" s="50">
        <f t="shared" si="6"/>
        <v>5.600000000000005E-2</v>
      </c>
      <c r="J18" s="50">
        <f t="shared" si="6"/>
        <v>3.7999999999999923E-2</v>
      </c>
      <c r="K18" s="50">
        <f t="shared" si="6"/>
        <v>6.9000000000000061E-2</v>
      </c>
      <c r="L18" s="50">
        <f t="shared" si="6"/>
        <v>6.1999999999999944E-2</v>
      </c>
      <c r="M18" s="50">
        <f t="shared" si="6"/>
        <v>4.7000000000000042E-2</v>
      </c>
    </row>
    <row r="19" spans="1:13">
      <c r="A19" s="60" t="s">
        <v>26</v>
      </c>
      <c r="B19" s="61">
        <f>1.93*B18</f>
        <v>0.42846000000000006</v>
      </c>
      <c r="C19" s="61">
        <f t="shared" ref="C19:M19" si="7">1.93*C18</f>
        <v>0.16790999999999992</v>
      </c>
      <c r="D19" s="61">
        <f t="shared" si="7"/>
        <v>0.15247000000000013</v>
      </c>
      <c r="E19" s="61">
        <f t="shared" si="7"/>
        <v>0.21229999999999985</v>
      </c>
      <c r="F19" s="61">
        <f t="shared" si="7"/>
        <v>0.20844000000000007</v>
      </c>
      <c r="G19" s="61">
        <f t="shared" si="7"/>
        <v>4.2459999999999928E-2</v>
      </c>
      <c r="H19" s="61">
        <f t="shared" si="7"/>
        <v>0.16405000000000003</v>
      </c>
      <c r="I19" s="61">
        <f t="shared" si="7"/>
        <v>0.10808000000000009</v>
      </c>
      <c r="J19" s="61">
        <f t="shared" si="7"/>
        <v>7.333999999999985E-2</v>
      </c>
      <c r="K19" s="61">
        <f t="shared" si="7"/>
        <v>0.13317000000000012</v>
      </c>
      <c r="L19" s="61">
        <f t="shared" si="7"/>
        <v>0.11965999999999989</v>
      </c>
      <c r="M19" s="61">
        <f t="shared" si="7"/>
        <v>9.0710000000000082E-2</v>
      </c>
    </row>
    <row r="21" spans="1:13">
      <c r="A21" s="57" t="s">
        <v>28</v>
      </c>
      <c r="B21" s="58">
        <v>1</v>
      </c>
      <c r="C21" s="58">
        <v>2</v>
      </c>
      <c r="D21" s="58">
        <v>3</v>
      </c>
      <c r="E21" s="58">
        <v>4</v>
      </c>
      <c r="F21" s="58">
        <v>5</v>
      </c>
      <c r="G21" s="58">
        <v>6</v>
      </c>
      <c r="H21" s="58">
        <v>7</v>
      </c>
      <c r="I21" s="58">
        <v>8</v>
      </c>
      <c r="J21" s="58">
        <v>9</v>
      </c>
      <c r="K21" s="58">
        <v>10</v>
      </c>
      <c r="L21" s="58">
        <v>11</v>
      </c>
      <c r="M21" s="58">
        <v>12</v>
      </c>
    </row>
    <row r="22" spans="1:13">
      <c r="A22" s="51" t="s">
        <v>2</v>
      </c>
      <c r="B22" s="70">
        <v>0.48799999999999999</v>
      </c>
      <c r="C22" s="70">
        <v>0.51200000000000001</v>
      </c>
      <c r="D22" s="63">
        <v>0.33900000000000002</v>
      </c>
      <c r="E22" s="71">
        <v>0.61499999999999999</v>
      </c>
      <c r="F22" s="70">
        <v>0.47699999999999998</v>
      </c>
      <c r="G22" s="63">
        <v>0.36299999999999999</v>
      </c>
      <c r="H22" s="73">
        <v>0.45200000000000001</v>
      </c>
      <c r="I22" s="70">
        <v>0.499</v>
      </c>
      <c r="J22" s="70">
        <v>0.51900000000000002</v>
      </c>
      <c r="K22" s="52">
        <v>0.94399999999999995</v>
      </c>
      <c r="L22" s="70">
        <v>0.51500000000000001</v>
      </c>
      <c r="M22" s="70">
        <v>0.47899999999999998</v>
      </c>
    </row>
    <row r="23" spans="1:13">
      <c r="A23" s="51" t="s">
        <v>4</v>
      </c>
      <c r="B23" s="71">
        <v>0.59199999999999997</v>
      </c>
      <c r="C23" s="73">
        <v>0.44700000000000001</v>
      </c>
      <c r="D23" s="73">
        <v>0.45900000000000002</v>
      </c>
      <c r="E23" s="72">
        <v>0.65800000000000003</v>
      </c>
      <c r="F23" s="71">
        <v>0.57399999999999995</v>
      </c>
      <c r="G23" s="73">
        <v>0.40600000000000003</v>
      </c>
      <c r="H23" s="71">
        <v>0.56699999999999995</v>
      </c>
      <c r="I23" s="71">
        <v>0.59599999999999997</v>
      </c>
      <c r="J23" s="71">
        <v>0.57999999999999996</v>
      </c>
      <c r="K23" s="53">
        <v>0.98199999999999998</v>
      </c>
      <c r="L23" s="71">
        <v>0.61099999999999999</v>
      </c>
      <c r="M23" s="71">
        <v>0.623</v>
      </c>
    </row>
    <row r="24" spans="1:13">
      <c r="A24" s="56" t="s">
        <v>23</v>
      </c>
      <c r="B24" s="50">
        <f>B23-B22</f>
        <v>0.10399999999999998</v>
      </c>
      <c r="C24" s="50">
        <f t="shared" ref="C24" si="8">C23-C22</f>
        <v>-6.5000000000000002E-2</v>
      </c>
      <c r="D24" s="50">
        <f>D23-D22</f>
        <v>0.12</v>
      </c>
      <c r="E24" s="50">
        <f t="shared" ref="E24:M24" si="9">E23-E22</f>
        <v>4.3000000000000038E-2</v>
      </c>
      <c r="F24" s="50">
        <f t="shared" si="9"/>
        <v>9.6999999999999975E-2</v>
      </c>
      <c r="G24" s="50">
        <f t="shared" si="9"/>
        <v>4.3000000000000038E-2</v>
      </c>
      <c r="H24" s="50">
        <f t="shared" si="9"/>
        <v>0.11499999999999994</v>
      </c>
      <c r="I24" s="50">
        <f t="shared" si="9"/>
        <v>9.6999999999999975E-2</v>
      </c>
      <c r="J24" s="50">
        <f t="shared" si="9"/>
        <v>6.0999999999999943E-2</v>
      </c>
      <c r="K24" s="50">
        <f t="shared" si="9"/>
        <v>3.8000000000000034E-2</v>
      </c>
      <c r="L24" s="50">
        <f t="shared" si="9"/>
        <v>9.5999999999999974E-2</v>
      </c>
      <c r="M24" s="50">
        <f t="shared" si="9"/>
        <v>0.14400000000000002</v>
      </c>
    </row>
    <row r="25" spans="1:13">
      <c r="A25" s="56" t="s">
        <v>25</v>
      </c>
      <c r="B25" s="50">
        <f>B24-$B$5</f>
        <v>0.10399999999999998</v>
      </c>
      <c r="C25" s="50">
        <f t="shared" ref="C25:M25" si="10">C24-$B$5</f>
        <v>-6.5000000000000002E-2</v>
      </c>
      <c r="D25" s="50">
        <f t="shared" si="10"/>
        <v>0.12</v>
      </c>
      <c r="E25" s="50">
        <f t="shared" si="10"/>
        <v>4.3000000000000038E-2</v>
      </c>
      <c r="F25" s="50">
        <f t="shared" si="10"/>
        <v>9.6999999999999975E-2</v>
      </c>
      <c r="G25" s="50">
        <f t="shared" si="10"/>
        <v>4.3000000000000038E-2</v>
      </c>
      <c r="H25" s="50">
        <f t="shared" si="10"/>
        <v>0.11499999999999994</v>
      </c>
      <c r="I25" s="50">
        <f t="shared" si="10"/>
        <v>9.6999999999999975E-2</v>
      </c>
      <c r="J25" s="50">
        <f t="shared" si="10"/>
        <v>6.0999999999999943E-2</v>
      </c>
      <c r="K25" s="50">
        <f t="shared" si="10"/>
        <v>3.8000000000000034E-2</v>
      </c>
      <c r="L25" s="50">
        <f t="shared" si="10"/>
        <v>9.5999999999999974E-2</v>
      </c>
      <c r="M25" s="50">
        <f t="shared" si="10"/>
        <v>0.14400000000000002</v>
      </c>
    </row>
    <row r="26" spans="1:13">
      <c r="A26" s="60" t="s">
        <v>26</v>
      </c>
      <c r="B26" s="61">
        <f>1.93*B25</f>
        <v>0.20071999999999995</v>
      </c>
      <c r="C26" s="61">
        <f t="shared" ref="C26:M26" si="11">1.93*C25</f>
        <v>-0.12545000000000001</v>
      </c>
      <c r="D26" s="61">
        <f t="shared" si="11"/>
        <v>0.23159999999999997</v>
      </c>
      <c r="E26" s="61">
        <f t="shared" si="11"/>
        <v>8.2990000000000078E-2</v>
      </c>
      <c r="F26" s="61">
        <f t="shared" si="11"/>
        <v>0.18720999999999996</v>
      </c>
      <c r="G26" s="61">
        <f t="shared" si="11"/>
        <v>8.2990000000000078E-2</v>
      </c>
      <c r="H26" s="61">
        <f t="shared" si="11"/>
        <v>0.22194999999999987</v>
      </c>
      <c r="I26" s="61">
        <f t="shared" si="11"/>
        <v>0.18720999999999996</v>
      </c>
      <c r="J26" s="61">
        <f t="shared" si="11"/>
        <v>0.11772999999999989</v>
      </c>
      <c r="K26" s="61">
        <f t="shared" si="11"/>
        <v>7.3340000000000058E-2</v>
      </c>
      <c r="L26" s="61">
        <f t="shared" si="11"/>
        <v>0.18527999999999994</v>
      </c>
      <c r="M26" s="61">
        <f t="shared" si="11"/>
        <v>0.27792</v>
      </c>
    </row>
    <row r="27" spans="1:13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</row>
    <row r="28" spans="1:13">
      <c r="A28" s="57" t="s">
        <v>29</v>
      </c>
      <c r="B28" s="58">
        <v>1</v>
      </c>
      <c r="C28" s="58">
        <v>2</v>
      </c>
      <c r="D28" s="58">
        <v>3</v>
      </c>
      <c r="E28" s="58">
        <v>4</v>
      </c>
      <c r="F28" s="58">
        <v>5</v>
      </c>
      <c r="G28" s="58">
        <v>6</v>
      </c>
      <c r="H28" s="58">
        <v>7</v>
      </c>
      <c r="I28" s="58">
        <v>8</v>
      </c>
      <c r="J28" s="58">
        <v>9</v>
      </c>
      <c r="K28" s="58">
        <v>10</v>
      </c>
      <c r="L28" s="58">
        <v>11</v>
      </c>
      <c r="M28" s="58">
        <v>12</v>
      </c>
    </row>
    <row r="29" spans="1:13">
      <c r="A29" s="51" t="s">
        <v>2</v>
      </c>
      <c r="B29" s="72">
        <v>0.64300000000000002</v>
      </c>
      <c r="C29" s="71">
        <v>0.56200000000000006</v>
      </c>
      <c r="D29" s="72">
        <v>0.64400000000000002</v>
      </c>
      <c r="E29" s="71">
        <v>0.56299999999999994</v>
      </c>
      <c r="F29" s="70">
        <v>0.47799999999999998</v>
      </c>
      <c r="G29" s="71">
        <v>0.54100000000000004</v>
      </c>
      <c r="H29" s="70">
        <v>0.496</v>
      </c>
      <c r="I29" s="71">
        <v>0.54200000000000004</v>
      </c>
      <c r="J29" s="72">
        <v>0.66100000000000003</v>
      </c>
      <c r="K29" s="73">
        <v>0.45100000000000001</v>
      </c>
      <c r="L29" s="65">
        <v>1.2589999999999999</v>
      </c>
      <c r="M29" s="70">
        <v>0.53300000000000003</v>
      </c>
    </row>
    <row r="30" spans="1:13">
      <c r="A30" s="51" t="s">
        <v>4</v>
      </c>
      <c r="B30" s="54">
        <v>0.73299999999999998</v>
      </c>
      <c r="C30" s="71">
        <v>0.627</v>
      </c>
      <c r="D30" s="72">
        <v>0.69699999999999995</v>
      </c>
      <c r="E30" s="72">
        <v>0.65700000000000003</v>
      </c>
      <c r="F30" s="70">
        <v>0.54700000000000004</v>
      </c>
      <c r="G30" s="71">
        <v>0.61699999999999999</v>
      </c>
      <c r="H30" s="63">
        <v>0.36499999999999999</v>
      </c>
      <c r="I30" s="71">
        <v>0.626</v>
      </c>
      <c r="J30" s="72">
        <v>0.72699999999999998</v>
      </c>
      <c r="K30" s="70">
        <v>0.55700000000000005</v>
      </c>
      <c r="L30" s="65">
        <v>1.319</v>
      </c>
      <c r="M30" s="72">
        <v>0.69199999999999995</v>
      </c>
    </row>
    <row r="31" spans="1:13">
      <c r="A31" s="56" t="s">
        <v>23</v>
      </c>
      <c r="B31" s="50">
        <f>B30-B29</f>
        <v>8.9999999999999969E-2</v>
      </c>
      <c r="C31" s="50">
        <f t="shared" ref="C31" si="12">C30-C29</f>
        <v>6.4999999999999947E-2</v>
      </c>
      <c r="D31" s="50">
        <f>D30-D29</f>
        <v>5.2999999999999936E-2</v>
      </c>
      <c r="E31" s="50">
        <f t="shared" ref="E31:M31" si="13">E30-E29</f>
        <v>9.4000000000000083E-2</v>
      </c>
      <c r="F31" s="50">
        <f t="shared" si="13"/>
        <v>6.9000000000000061E-2</v>
      </c>
      <c r="G31" s="50">
        <f t="shared" si="13"/>
        <v>7.5999999999999956E-2</v>
      </c>
      <c r="H31" s="50">
        <f t="shared" si="13"/>
        <v>-0.13100000000000001</v>
      </c>
      <c r="I31" s="50">
        <f t="shared" si="13"/>
        <v>8.3999999999999964E-2</v>
      </c>
      <c r="J31" s="50">
        <f t="shared" si="13"/>
        <v>6.5999999999999948E-2</v>
      </c>
      <c r="K31" s="50">
        <f t="shared" si="13"/>
        <v>0.10600000000000004</v>
      </c>
      <c r="L31" s="50">
        <f t="shared" si="13"/>
        <v>6.0000000000000053E-2</v>
      </c>
      <c r="M31" s="50">
        <f t="shared" si="13"/>
        <v>0.15899999999999992</v>
      </c>
    </row>
    <row r="32" spans="1:13">
      <c r="A32" s="56" t="s">
        <v>25</v>
      </c>
      <c r="B32" s="50">
        <f>B31-$B$5</f>
        <v>8.9999999999999969E-2</v>
      </c>
      <c r="C32" s="50">
        <f t="shared" ref="C32:M32" si="14">C31-$B$5</f>
        <v>6.4999999999999947E-2</v>
      </c>
      <c r="D32" s="50">
        <f t="shared" si="14"/>
        <v>5.2999999999999936E-2</v>
      </c>
      <c r="E32" s="50">
        <f t="shared" si="14"/>
        <v>9.4000000000000083E-2</v>
      </c>
      <c r="F32" s="50">
        <f t="shared" si="14"/>
        <v>6.9000000000000061E-2</v>
      </c>
      <c r="G32" s="50">
        <f t="shared" si="14"/>
        <v>7.5999999999999956E-2</v>
      </c>
      <c r="H32" s="50">
        <f t="shared" si="14"/>
        <v>-0.13100000000000001</v>
      </c>
      <c r="I32" s="50">
        <f t="shared" si="14"/>
        <v>8.3999999999999964E-2</v>
      </c>
      <c r="J32" s="50">
        <f t="shared" si="14"/>
        <v>6.5999999999999948E-2</v>
      </c>
      <c r="K32" s="50">
        <f t="shared" si="14"/>
        <v>0.10600000000000004</v>
      </c>
      <c r="L32" s="50">
        <f t="shared" si="14"/>
        <v>6.0000000000000053E-2</v>
      </c>
      <c r="M32" s="50">
        <f t="shared" si="14"/>
        <v>0.15899999999999992</v>
      </c>
    </row>
    <row r="33" spans="1:14">
      <c r="A33" s="60" t="s">
        <v>26</v>
      </c>
      <c r="B33" s="61">
        <f>1.93*B32</f>
        <v>0.17369999999999994</v>
      </c>
      <c r="C33" s="61">
        <f t="shared" ref="C33:M33" si="15">1.93*C32</f>
        <v>0.12544999999999989</v>
      </c>
      <c r="D33" s="61">
        <f t="shared" si="15"/>
        <v>0.10228999999999987</v>
      </c>
      <c r="E33" s="61">
        <f t="shared" si="15"/>
        <v>0.18142000000000016</v>
      </c>
      <c r="F33" s="61">
        <f t="shared" si="15"/>
        <v>0.13317000000000012</v>
      </c>
      <c r="G33" s="61">
        <f t="shared" si="15"/>
        <v>0.14667999999999992</v>
      </c>
      <c r="H33" s="61">
        <f t="shared" si="15"/>
        <v>-0.25283</v>
      </c>
      <c r="I33" s="61">
        <f t="shared" si="15"/>
        <v>0.16211999999999993</v>
      </c>
      <c r="J33" s="61">
        <f t="shared" si="15"/>
        <v>0.12737999999999988</v>
      </c>
      <c r="K33" s="61">
        <f t="shared" si="15"/>
        <v>0.20458000000000007</v>
      </c>
      <c r="L33" s="61">
        <f t="shared" si="15"/>
        <v>0.1158000000000001</v>
      </c>
      <c r="M33" s="61">
        <f t="shared" si="15"/>
        <v>0.30686999999999981</v>
      </c>
    </row>
    <row r="35" spans="1:14"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</row>
    <row r="36" spans="1:14">
      <c r="B36" s="67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</row>
    <row r="37" spans="1:14">
      <c r="B37" s="68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</row>
    <row r="38" spans="1:14">
      <c r="B38" s="68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39" spans="1:14">
      <c r="B39" s="68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</row>
    <row r="40" spans="1:14">
      <c r="B40" s="68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</row>
    <row r="41" spans="1:14">
      <c r="B41" s="68"/>
      <c r="C41" s="66"/>
      <c r="D41" s="66"/>
      <c r="E41" s="66"/>
      <c r="F41" s="69"/>
      <c r="G41" s="69"/>
      <c r="H41" s="69"/>
      <c r="I41" s="69"/>
      <c r="J41" s="69"/>
      <c r="K41" s="69"/>
      <c r="L41" s="69"/>
      <c r="M41" s="69"/>
      <c r="N41" s="69"/>
    </row>
    <row r="42" spans="1:14">
      <c r="B42" s="68"/>
      <c r="C42" s="66"/>
      <c r="D42" s="66"/>
      <c r="E42" s="66"/>
      <c r="F42" s="69"/>
      <c r="G42" s="69"/>
      <c r="H42" s="69"/>
      <c r="I42" s="69"/>
      <c r="J42" s="69"/>
      <c r="K42" s="69"/>
      <c r="L42" s="69"/>
      <c r="M42" s="69"/>
      <c r="N42" s="69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N46"/>
  <sheetViews>
    <sheetView topLeftCell="A4" zoomScale="85" zoomScaleNormal="85" workbookViewId="0">
      <selection activeCell="K46" sqref="K46"/>
    </sheetView>
  </sheetViews>
  <sheetFormatPr baseColWidth="10" defaultRowHeight="12.75"/>
  <cols>
    <col min="1" max="16384" width="11.42578125" style="50"/>
  </cols>
  <sheetData>
    <row r="2" spans="1:14">
      <c r="C2" s="51">
        <v>0</v>
      </c>
      <c r="D2" s="50">
        <v>12.5</v>
      </c>
      <c r="E2" s="50">
        <v>25</v>
      </c>
      <c r="F2" s="178">
        <v>37.5</v>
      </c>
      <c r="G2" s="50">
        <v>50</v>
      </c>
    </row>
    <row r="3" spans="1:14">
      <c r="C3" s="179">
        <v>8.5000000000000006E-2</v>
      </c>
      <c r="D3" s="180">
        <v>1.4690000000000001</v>
      </c>
      <c r="E3" s="181">
        <v>1.9419999999999999</v>
      </c>
      <c r="F3" s="182">
        <v>1.8660000000000001</v>
      </c>
      <c r="G3" s="129">
        <v>1.863</v>
      </c>
    </row>
    <row r="4" spans="1:14">
      <c r="C4" s="179">
        <v>7.6999999999999999E-2</v>
      </c>
      <c r="D4" s="183">
        <v>1.67</v>
      </c>
      <c r="E4" s="129">
        <v>1.8169999999999999</v>
      </c>
      <c r="F4" s="181">
        <v>1.893</v>
      </c>
      <c r="G4" s="129">
        <v>1.85</v>
      </c>
    </row>
    <row r="5" spans="1:14">
      <c r="C5" s="50">
        <f>AVERAGE(C3:C4)</f>
        <v>8.1000000000000003E-2</v>
      </c>
      <c r="D5" s="50">
        <f t="shared" ref="D5:G5" si="0">AVERAGE(D3:D4)</f>
        <v>1.5695000000000001</v>
      </c>
      <c r="E5" s="50">
        <f>AVERAGE(E4)</f>
        <v>1.8169999999999999</v>
      </c>
      <c r="F5" s="50">
        <f t="shared" si="0"/>
        <v>1.8795000000000002</v>
      </c>
      <c r="G5" s="50">
        <f t="shared" si="0"/>
        <v>1.8565</v>
      </c>
    </row>
    <row r="6" spans="1:14">
      <c r="C6" s="50">
        <f>C5-$C$5</f>
        <v>0</v>
      </c>
      <c r="D6" s="50">
        <f t="shared" ref="D6:G6" si="1">D5-$C$5</f>
        <v>1.4885000000000002</v>
      </c>
      <c r="E6" s="50">
        <f t="shared" si="1"/>
        <v>1.736</v>
      </c>
      <c r="F6" s="50">
        <f t="shared" si="1"/>
        <v>1.7985000000000002</v>
      </c>
      <c r="G6" s="50">
        <f t="shared" si="1"/>
        <v>1.7755000000000001</v>
      </c>
    </row>
    <row r="7" spans="1:14">
      <c r="M7" s="184"/>
      <c r="N7" s="184"/>
    </row>
    <row r="9" spans="1:14">
      <c r="C9" s="99" t="s">
        <v>85</v>
      </c>
      <c r="D9" s="100"/>
      <c r="E9" s="100"/>
      <c r="F9" s="100"/>
      <c r="G9" s="100"/>
      <c r="H9" s="100"/>
      <c r="I9" s="99" t="s">
        <v>86</v>
      </c>
      <c r="J9" s="100"/>
      <c r="K9" s="100"/>
      <c r="L9" s="100"/>
      <c r="M9" s="100"/>
      <c r="N9" s="100"/>
    </row>
    <row r="10" spans="1:14">
      <c r="C10" s="50">
        <v>1</v>
      </c>
      <c r="D10" s="50">
        <v>2</v>
      </c>
      <c r="E10" s="50">
        <v>3</v>
      </c>
      <c r="F10" s="50">
        <v>4</v>
      </c>
      <c r="G10" s="50">
        <v>5</v>
      </c>
      <c r="H10" s="50">
        <v>6</v>
      </c>
      <c r="I10" s="50">
        <v>7</v>
      </c>
      <c r="J10" s="50">
        <v>8</v>
      </c>
      <c r="K10" s="50">
        <v>9</v>
      </c>
      <c r="L10" s="50">
        <v>10</v>
      </c>
      <c r="M10" s="178">
        <v>11</v>
      </c>
      <c r="N10" s="50">
        <v>12</v>
      </c>
    </row>
    <row r="11" spans="1:14">
      <c r="B11" s="185" t="s">
        <v>22</v>
      </c>
      <c r="C11" s="183">
        <v>1.6759999999999999</v>
      </c>
      <c r="D11" s="154">
        <v>1.887</v>
      </c>
      <c r="E11" s="129">
        <v>1.73</v>
      </c>
      <c r="F11" s="183">
        <v>1.69</v>
      </c>
      <c r="G11" s="154">
        <v>1.9</v>
      </c>
      <c r="H11" s="183">
        <v>1.6559999999999999</v>
      </c>
      <c r="I11" s="154">
        <v>1.9079999999999999</v>
      </c>
      <c r="J11" s="129">
        <v>1.8540000000000001</v>
      </c>
      <c r="K11" s="129">
        <v>1.8620000000000001</v>
      </c>
      <c r="L11" s="129">
        <v>1.823</v>
      </c>
      <c r="M11" s="186">
        <v>1.615</v>
      </c>
      <c r="N11" s="129">
        <v>1.823</v>
      </c>
    </row>
    <row r="12" spans="1:14">
      <c r="C12" s="50">
        <f>C11-$C$5</f>
        <v>1.595</v>
      </c>
      <c r="D12" s="50">
        <f t="shared" ref="D12:N12" si="2">D11-$C$5</f>
        <v>1.806</v>
      </c>
      <c r="E12" s="50">
        <f t="shared" si="2"/>
        <v>1.649</v>
      </c>
      <c r="F12" s="50">
        <f t="shared" si="2"/>
        <v>1.609</v>
      </c>
      <c r="G12" s="50">
        <f t="shared" si="2"/>
        <v>1.819</v>
      </c>
      <c r="H12" s="50">
        <f t="shared" si="2"/>
        <v>1.575</v>
      </c>
      <c r="I12" s="50">
        <f t="shared" si="2"/>
        <v>1.827</v>
      </c>
      <c r="J12" s="50">
        <f t="shared" si="2"/>
        <v>1.7730000000000001</v>
      </c>
      <c r="K12" s="50">
        <f t="shared" si="2"/>
        <v>1.7810000000000001</v>
      </c>
      <c r="L12" s="50">
        <f t="shared" si="2"/>
        <v>1.742</v>
      </c>
      <c r="M12" s="178">
        <f t="shared" si="2"/>
        <v>1.534</v>
      </c>
      <c r="N12" s="50">
        <f t="shared" si="2"/>
        <v>1.742</v>
      </c>
    </row>
    <row r="13" spans="1:14">
      <c r="C13" s="187">
        <f>(C12-0.2068)/0.0694</f>
        <v>20.002881844380401</v>
      </c>
      <c r="D13" s="187">
        <f t="shared" ref="D13:N13" si="3">(D12-0.2068)/0.0694</f>
        <v>23.043227665706048</v>
      </c>
      <c r="E13" s="187">
        <f t="shared" si="3"/>
        <v>20.780979827089336</v>
      </c>
      <c r="F13" s="187">
        <f t="shared" si="3"/>
        <v>20.204610951008643</v>
      </c>
      <c r="G13" s="187">
        <f t="shared" si="3"/>
        <v>23.230547550432274</v>
      </c>
      <c r="H13" s="187">
        <f t="shared" si="3"/>
        <v>19.714697406340054</v>
      </c>
      <c r="I13" s="187">
        <f t="shared" si="3"/>
        <v>23.345821325648412</v>
      </c>
      <c r="J13" s="187">
        <f t="shared" si="3"/>
        <v>22.56772334293948</v>
      </c>
      <c r="K13" s="187">
        <f t="shared" si="3"/>
        <v>22.682997118155619</v>
      </c>
      <c r="L13" s="187">
        <f t="shared" si="3"/>
        <v>22.121037463976943</v>
      </c>
      <c r="M13" s="188">
        <f t="shared" si="3"/>
        <v>19.123919308357348</v>
      </c>
      <c r="N13" s="187">
        <f t="shared" si="3"/>
        <v>22.121037463976943</v>
      </c>
    </row>
    <row r="14" spans="1:14">
      <c r="A14" s="51" t="s">
        <v>87</v>
      </c>
      <c r="B14" s="51" t="s">
        <v>88</v>
      </c>
      <c r="C14" s="187">
        <f>C13*3</f>
        <v>60.008645533141205</v>
      </c>
      <c r="D14" s="187">
        <f t="shared" ref="D14:N14" si="4">D13*3</f>
        <v>69.129682997118152</v>
      </c>
      <c r="E14" s="187">
        <f t="shared" si="4"/>
        <v>62.342939481268004</v>
      </c>
      <c r="F14" s="187">
        <f t="shared" si="4"/>
        <v>60.613832853025926</v>
      </c>
      <c r="G14" s="187">
        <f t="shared" si="4"/>
        <v>69.691642651296817</v>
      </c>
      <c r="H14" s="187">
        <f t="shared" si="4"/>
        <v>59.144092219020166</v>
      </c>
      <c r="I14" s="187">
        <f t="shared" si="4"/>
        <v>70.037463976945233</v>
      </c>
      <c r="J14" s="187">
        <f t="shared" si="4"/>
        <v>67.703170028818448</v>
      </c>
      <c r="K14" s="187">
        <f t="shared" si="4"/>
        <v>68.048991354466864</v>
      </c>
      <c r="L14" s="187">
        <f t="shared" si="4"/>
        <v>66.363112391930827</v>
      </c>
      <c r="M14" s="188">
        <f t="shared" si="4"/>
        <v>57.371757925072046</v>
      </c>
      <c r="N14" s="187">
        <f t="shared" si="4"/>
        <v>66.363112391930827</v>
      </c>
    </row>
    <row r="16" spans="1:14">
      <c r="C16" s="99" t="s">
        <v>85</v>
      </c>
      <c r="D16" s="100"/>
      <c r="E16" s="100"/>
      <c r="F16" s="100"/>
      <c r="G16" s="100"/>
      <c r="H16" s="100"/>
      <c r="I16" s="99" t="s">
        <v>86</v>
      </c>
      <c r="J16" s="100"/>
      <c r="K16" s="100"/>
      <c r="L16" s="100"/>
      <c r="M16" s="100"/>
      <c r="N16" s="100"/>
    </row>
    <row r="17" spans="1:14">
      <c r="C17" s="50">
        <v>13</v>
      </c>
      <c r="D17" s="50">
        <v>14</v>
      </c>
      <c r="E17" s="50">
        <v>15</v>
      </c>
      <c r="F17" s="50">
        <v>16</v>
      </c>
      <c r="G17" s="50">
        <v>17</v>
      </c>
      <c r="H17" s="50">
        <v>18</v>
      </c>
      <c r="I17" s="50">
        <v>19</v>
      </c>
      <c r="J17" s="50">
        <v>20</v>
      </c>
      <c r="K17" s="50">
        <v>21</v>
      </c>
      <c r="L17" s="50">
        <v>22</v>
      </c>
      <c r="M17" s="50">
        <v>23</v>
      </c>
      <c r="N17" s="50">
        <v>24</v>
      </c>
    </row>
    <row r="18" spans="1:14">
      <c r="B18" s="185" t="s">
        <v>27</v>
      </c>
      <c r="C18" s="129">
        <v>1.7949999999999999</v>
      </c>
      <c r="D18" s="129">
        <v>1.7709999999999999</v>
      </c>
      <c r="E18" s="129">
        <v>1.778</v>
      </c>
      <c r="F18" s="129">
        <v>1.8180000000000001</v>
      </c>
      <c r="G18" s="154">
        <v>1.909</v>
      </c>
      <c r="H18" s="154">
        <v>1.9410000000000001</v>
      </c>
      <c r="I18" s="154">
        <v>1.98</v>
      </c>
      <c r="J18" s="154">
        <v>1.9379999999999999</v>
      </c>
      <c r="K18" s="154">
        <v>2.0059999999999998</v>
      </c>
      <c r="L18" s="129">
        <v>1.8009999999999999</v>
      </c>
      <c r="M18" s="154">
        <v>1.994</v>
      </c>
      <c r="N18" s="129">
        <v>1.7909999999999999</v>
      </c>
    </row>
    <row r="19" spans="1:14">
      <c r="C19" s="50">
        <f>C18-$C$5</f>
        <v>1.714</v>
      </c>
      <c r="D19" s="50">
        <f t="shared" ref="D19:N19" si="5">D18-$C$5</f>
        <v>1.69</v>
      </c>
      <c r="E19" s="50">
        <f t="shared" si="5"/>
        <v>1.6970000000000001</v>
      </c>
      <c r="F19" s="50">
        <f t="shared" si="5"/>
        <v>1.7370000000000001</v>
      </c>
      <c r="G19" s="50">
        <f t="shared" si="5"/>
        <v>1.8280000000000001</v>
      </c>
      <c r="H19" s="50">
        <f t="shared" si="5"/>
        <v>1.86</v>
      </c>
      <c r="I19" s="50">
        <f t="shared" si="5"/>
        <v>1.899</v>
      </c>
      <c r="J19" s="50">
        <f t="shared" si="5"/>
        <v>1.857</v>
      </c>
      <c r="K19" s="50">
        <f t="shared" si="5"/>
        <v>1.9249999999999998</v>
      </c>
      <c r="L19" s="50">
        <f t="shared" si="5"/>
        <v>1.72</v>
      </c>
      <c r="M19" s="50">
        <f t="shared" si="5"/>
        <v>1.913</v>
      </c>
      <c r="N19" s="50">
        <f t="shared" si="5"/>
        <v>1.71</v>
      </c>
    </row>
    <row r="20" spans="1:14">
      <c r="C20" s="187">
        <f>(C19-0.2068)/0.0694</f>
        <v>21.717579250720458</v>
      </c>
      <c r="D20" s="187">
        <f t="shared" ref="D20:N20" si="6">(D19-0.2068)/0.0694</f>
        <v>21.371757925072043</v>
      </c>
      <c r="E20" s="187">
        <f t="shared" si="6"/>
        <v>21.472622478386164</v>
      </c>
      <c r="F20" s="187">
        <f t="shared" si="6"/>
        <v>22.048991354466857</v>
      </c>
      <c r="G20" s="187">
        <f t="shared" si="6"/>
        <v>23.360230547550429</v>
      </c>
      <c r="H20" s="187">
        <f t="shared" si="6"/>
        <v>23.821325648414984</v>
      </c>
      <c r="I20" s="187">
        <f t="shared" si="6"/>
        <v>24.383285302593659</v>
      </c>
      <c r="J20" s="187">
        <f t="shared" si="6"/>
        <v>23.778097982708932</v>
      </c>
      <c r="K20" s="187">
        <f t="shared" si="6"/>
        <v>24.757925072046106</v>
      </c>
      <c r="L20" s="187">
        <f t="shared" si="6"/>
        <v>21.804034582132562</v>
      </c>
      <c r="M20" s="187">
        <f t="shared" si="6"/>
        <v>24.585014409221898</v>
      </c>
      <c r="N20" s="187">
        <f t="shared" si="6"/>
        <v>21.659942363112389</v>
      </c>
    </row>
    <row r="21" spans="1:14">
      <c r="A21" s="51" t="s">
        <v>87</v>
      </c>
      <c r="B21" s="51" t="s">
        <v>88</v>
      </c>
      <c r="C21" s="187">
        <f>C20*3</f>
        <v>65.152737752161372</v>
      </c>
      <c r="D21" s="187">
        <f t="shared" ref="D21:N21" si="7">D20*3</f>
        <v>64.115273775216124</v>
      </c>
      <c r="E21" s="187">
        <f t="shared" si="7"/>
        <v>64.417867435158485</v>
      </c>
      <c r="F21" s="187">
        <f t="shared" si="7"/>
        <v>66.146974063400563</v>
      </c>
      <c r="G21" s="187">
        <f t="shared" si="7"/>
        <v>70.080691642651288</v>
      </c>
      <c r="H21" s="187">
        <f t="shared" si="7"/>
        <v>71.463976945244951</v>
      </c>
      <c r="I21" s="187">
        <f t="shared" si="7"/>
        <v>73.149855907780974</v>
      </c>
      <c r="J21" s="187">
        <f t="shared" si="7"/>
        <v>71.334293948126799</v>
      </c>
      <c r="K21" s="187">
        <f t="shared" si="7"/>
        <v>74.273775216138318</v>
      </c>
      <c r="L21" s="187">
        <f t="shared" si="7"/>
        <v>65.41210374639769</v>
      </c>
      <c r="M21" s="187">
        <f t="shared" si="7"/>
        <v>73.755043227665695</v>
      </c>
      <c r="N21" s="187">
        <f t="shared" si="7"/>
        <v>64.979827089337164</v>
      </c>
    </row>
    <row r="23" spans="1:14">
      <c r="C23" s="99" t="s">
        <v>86</v>
      </c>
      <c r="D23" s="100"/>
      <c r="E23" s="100"/>
      <c r="F23" s="100"/>
      <c r="G23" s="100"/>
      <c r="H23" s="100"/>
      <c r="I23" s="99" t="s">
        <v>85</v>
      </c>
      <c r="J23" s="100"/>
      <c r="K23" s="100"/>
      <c r="L23" s="100"/>
      <c r="M23" s="100"/>
      <c r="N23" s="100"/>
    </row>
    <row r="24" spans="1:14">
      <c r="C24" s="50">
        <v>1</v>
      </c>
      <c r="D24" s="50">
        <v>2</v>
      </c>
      <c r="E24" s="50">
        <v>3</v>
      </c>
      <c r="F24" s="50">
        <v>4</v>
      </c>
      <c r="G24" s="50">
        <v>5</v>
      </c>
      <c r="H24" s="50">
        <v>6</v>
      </c>
      <c r="I24" s="50">
        <v>7</v>
      </c>
      <c r="J24" s="50">
        <v>8</v>
      </c>
      <c r="K24" s="50">
        <v>9</v>
      </c>
      <c r="L24" s="50">
        <v>10</v>
      </c>
      <c r="M24" s="50">
        <v>11</v>
      </c>
      <c r="N24" s="50">
        <v>12</v>
      </c>
    </row>
    <row r="25" spans="1:14">
      <c r="B25" s="185" t="s">
        <v>28</v>
      </c>
      <c r="C25" s="154">
        <v>1.9</v>
      </c>
      <c r="D25" s="154">
        <v>1.9</v>
      </c>
      <c r="E25" s="154">
        <v>1.923</v>
      </c>
      <c r="F25" s="154">
        <v>1.8979999999999999</v>
      </c>
      <c r="G25" s="129">
        <v>1.8180000000000001</v>
      </c>
      <c r="H25" s="154">
        <v>1.887</v>
      </c>
      <c r="I25" s="129">
        <v>1.851</v>
      </c>
      <c r="J25" s="129">
        <v>1.782</v>
      </c>
      <c r="K25" s="129">
        <v>1.8380000000000001</v>
      </c>
      <c r="L25" s="129">
        <v>1.8029999999999999</v>
      </c>
      <c r="M25" s="129">
        <v>1.8660000000000001</v>
      </c>
      <c r="N25" s="129">
        <v>1.859</v>
      </c>
    </row>
    <row r="26" spans="1:14">
      <c r="C26" s="50">
        <f>C25-$C$5</f>
        <v>1.819</v>
      </c>
      <c r="D26" s="50">
        <f t="shared" ref="D26:N26" si="8">D25-$C$5</f>
        <v>1.819</v>
      </c>
      <c r="E26" s="50">
        <f t="shared" si="8"/>
        <v>1.8420000000000001</v>
      </c>
      <c r="F26" s="50">
        <f t="shared" si="8"/>
        <v>1.8169999999999999</v>
      </c>
      <c r="G26" s="50">
        <f t="shared" si="8"/>
        <v>1.7370000000000001</v>
      </c>
      <c r="H26" s="50">
        <f t="shared" si="8"/>
        <v>1.806</v>
      </c>
      <c r="I26" s="50">
        <f t="shared" si="8"/>
        <v>1.77</v>
      </c>
      <c r="J26" s="50">
        <f t="shared" si="8"/>
        <v>1.7010000000000001</v>
      </c>
      <c r="K26" s="50">
        <f t="shared" si="8"/>
        <v>1.7570000000000001</v>
      </c>
      <c r="L26" s="50">
        <f t="shared" si="8"/>
        <v>1.722</v>
      </c>
      <c r="M26" s="50">
        <f t="shared" si="8"/>
        <v>1.7850000000000001</v>
      </c>
      <c r="N26" s="50">
        <f t="shared" si="8"/>
        <v>1.778</v>
      </c>
    </row>
    <row r="27" spans="1:14">
      <c r="C27" s="187">
        <f>(C26-0.2068)/0.0694</f>
        <v>23.230547550432274</v>
      </c>
      <c r="D27" s="187">
        <f t="shared" ref="D27:N27" si="9">(D26-0.2068)/0.0694</f>
        <v>23.230547550432274</v>
      </c>
      <c r="E27" s="187">
        <f t="shared" si="9"/>
        <v>23.561959654178672</v>
      </c>
      <c r="F27" s="187">
        <f t="shared" si="9"/>
        <v>23.201729106628239</v>
      </c>
      <c r="G27" s="187">
        <f t="shared" si="9"/>
        <v>22.048991354466857</v>
      </c>
      <c r="H27" s="187">
        <f t="shared" si="9"/>
        <v>23.043227665706048</v>
      </c>
      <c r="I27" s="187">
        <f t="shared" si="9"/>
        <v>22.524495677233428</v>
      </c>
      <c r="J27" s="187">
        <f t="shared" si="9"/>
        <v>21.530259365994233</v>
      </c>
      <c r="K27" s="187">
        <f t="shared" si="9"/>
        <v>22.337175792507203</v>
      </c>
      <c r="L27" s="187">
        <f t="shared" si="9"/>
        <v>21.832853025936597</v>
      </c>
      <c r="M27" s="187">
        <f t="shared" si="9"/>
        <v>22.740634005763688</v>
      </c>
      <c r="N27" s="187">
        <f t="shared" si="9"/>
        <v>22.639769452449567</v>
      </c>
    </row>
    <row r="28" spans="1:14">
      <c r="A28" s="51" t="s">
        <v>87</v>
      </c>
      <c r="B28" s="51" t="s">
        <v>88</v>
      </c>
      <c r="C28" s="187">
        <f>C27*3</f>
        <v>69.691642651296817</v>
      </c>
      <c r="D28" s="187">
        <f t="shared" ref="D28:N28" si="10">D27*3</f>
        <v>69.691642651296817</v>
      </c>
      <c r="E28" s="187">
        <f t="shared" si="10"/>
        <v>70.685878962536009</v>
      </c>
      <c r="F28" s="187">
        <f t="shared" si="10"/>
        <v>69.60518731988472</v>
      </c>
      <c r="G28" s="189">
        <f t="shared" si="10"/>
        <v>66.146974063400563</v>
      </c>
      <c r="H28" s="187">
        <f t="shared" si="10"/>
        <v>69.129682997118152</v>
      </c>
      <c r="I28" s="187">
        <f t="shared" si="10"/>
        <v>67.573487031700282</v>
      </c>
      <c r="J28" s="187">
        <f t="shared" si="10"/>
        <v>64.590778097982707</v>
      </c>
      <c r="K28" s="187">
        <f t="shared" si="10"/>
        <v>67.011527377521617</v>
      </c>
      <c r="L28" s="187">
        <f t="shared" si="10"/>
        <v>65.498559077809787</v>
      </c>
      <c r="M28" s="187">
        <f t="shared" si="10"/>
        <v>68.221902017291058</v>
      </c>
      <c r="N28" s="187">
        <f t="shared" si="10"/>
        <v>67.919308357348697</v>
      </c>
    </row>
    <row r="30" spans="1:14">
      <c r="C30" s="99" t="s">
        <v>86</v>
      </c>
      <c r="D30" s="100"/>
      <c r="E30" s="100"/>
      <c r="F30" s="100"/>
      <c r="G30" s="100"/>
      <c r="H30" s="100"/>
      <c r="I30" s="99" t="s">
        <v>85</v>
      </c>
      <c r="J30" s="100"/>
      <c r="K30" s="100"/>
      <c r="L30" s="100"/>
      <c r="M30" s="100"/>
      <c r="N30" s="100"/>
    </row>
    <row r="31" spans="1:14">
      <c r="C31" s="50">
        <v>1</v>
      </c>
      <c r="D31" s="50">
        <v>2</v>
      </c>
      <c r="E31" s="50">
        <v>3</v>
      </c>
      <c r="F31" s="50">
        <v>4</v>
      </c>
      <c r="G31" s="50">
        <v>5</v>
      </c>
      <c r="H31" s="50">
        <v>6</v>
      </c>
      <c r="I31" s="50">
        <v>7</v>
      </c>
      <c r="J31" s="50">
        <v>8</v>
      </c>
      <c r="K31" s="50">
        <v>9</v>
      </c>
      <c r="L31" s="50">
        <v>10</v>
      </c>
      <c r="M31" s="178">
        <v>11</v>
      </c>
      <c r="N31" s="50">
        <v>12</v>
      </c>
    </row>
    <row r="32" spans="1:14">
      <c r="B32" s="185" t="s">
        <v>29</v>
      </c>
      <c r="C32" s="129">
        <v>1.792</v>
      </c>
      <c r="D32" s="154">
        <v>1.9159999999999999</v>
      </c>
      <c r="E32" s="154">
        <v>1.915</v>
      </c>
      <c r="F32" s="129">
        <v>1.8460000000000001</v>
      </c>
      <c r="G32" s="129">
        <v>1.839</v>
      </c>
      <c r="H32" s="129">
        <v>1.865</v>
      </c>
      <c r="I32" s="129">
        <v>1.84</v>
      </c>
      <c r="J32" s="129">
        <v>1.8320000000000001</v>
      </c>
      <c r="K32" s="183">
        <v>1.6659999999999999</v>
      </c>
      <c r="L32" s="183">
        <v>1.716</v>
      </c>
      <c r="M32" s="182">
        <v>1.843</v>
      </c>
      <c r="N32" s="154">
        <v>1.8839999999999999</v>
      </c>
    </row>
    <row r="33" spans="1:14">
      <c r="C33" s="50">
        <f>C32-$C$5</f>
        <v>1.7110000000000001</v>
      </c>
      <c r="D33" s="50">
        <f t="shared" ref="D33:N33" si="11">D32-$C$5</f>
        <v>1.835</v>
      </c>
      <c r="E33" s="50">
        <f t="shared" si="11"/>
        <v>1.8340000000000001</v>
      </c>
      <c r="F33" s="50">
        <f t="shared" si="11"/>
        <v>1.7650000000000001</v>
      </c>
      <c r="G33" s="50">
        <f t="shared" si="11"/>
        <v>1.758</v>
      </c>
      <c r="H33" s="50">
        <f t="shared" si="11"/>
        <v>1.784</v>
      </c>
      <c r="I33" s="50">
        <f t="shared" si="11"/>
        <v>1.7590000000000001</v>
      </c>
      <c r="J33" s="50">
        <f t="shared" si="11"/>
        <v>1.7510000000000001</v>
      </c>
      <c r="K33" s="50">
        <f t="shared" si="11"/>
        <v>1.585</v>
      </c>
      <c r="L33" s="50">
        <f t="shared" si="11"/>
        <v>1.635</v>
      </c>
      <c r="M33" s="178">
        <f t="shared" si="11"/>
        <v>1.762</v>
      </c>
      <c r="N33" s="50">
        <f t="shared" si="11"/>
        <v>1.8029999999999999</v>
      </c>
    </row>
    <row r="34" spans="1:14">
      <c r="C34" s="187">
        <f>(C33-0.2068)/0.0694</f>
        <v>21.674351585014406</v>
      </c>
      <c r="D34" s="187">
        <f t="shared" ref="D34:N34" si="12">(D33-0.2068)/0.0694</f>
        <v>23.461095100864551</v>
      </c>
      <c r="E34" s="187">
        <f t="shared" si="12"/>
        <v>23.446685878962533</v>
      </c>
      <c r="F34" s="187">
        <f t="shared" si="12"/>
        <v>22.452449567723342</v>
      </c>
      <c r="G34" s="187">
        <f t="shared" si="12"/>
        <v>22.351585014409221</v>
      </c>
      <c r="H34" s="187">
        <f t="shared" si="12"/>
        <v>22.726224783861671</v>
      </c>
      <c r="I34" s="187">
        <f t="shared" si="12"/>
        <v>22.365994236311238</v>
      </c>
      <c r="J34" s="187">
        <f t="shared" si="12"/>
        <v>22.250720461095099</v>
      </c>
      <c r="K34" s="187">
        <f t="shared" si="12"/>
        <v>19.858789625360227</v>
      </c>
      <c r="L34" s="187">
        <f t="shared" si="12"/>
        <v>20.579250720461093</v>
      </c>
      <c r="M34" s="188">
        <f t="shared" si="12"/>
        <v>22.40922190201729</v>
      </c>
      <c r="N34" s="187">
        <f t="shared" si="12"/>
        <v>22.999999999999996</v>
      </c>
    </row>
    <row r="35" spans="1:14">
      <c r="A35" s="51" t="s">
        <v>87</v>
      </c>
      <c r="B35" s="51" t="s">
        <v>88</v>
      </c>
      <c r="C35" s="187">
        <f>C34*3</f>
        <v>65.023054755043219</v>
      </c>
      <c r="D35" s="187">
        <f t="shared" ref="D35:N35" si="13">D34*3</f>
        <v>70.383285302593649</v>
      </c>
      <c r="E35" s="187">
        <f t="shared" si="13"/>
        <v>70.340057636887593</v>
      </c>
      <c r="F35" s="187">
        <f t="shared" si="13"/>
        <v>67.357348703170032</v>
      </c>
      <c r="G35" s="187">
        <f t="shared" si="13"/>
        <v>67.054755043227658</v>
      </c>
      <c r="H35" s="187">
        <f t="shared" si="13"/>
        <v>68.178674351585016</v>
      </c>
      <c r="I35" s="187">
        <f t="shared" si="13"/>
        <v>67.097982708933714</v>
      </c>
      <c r="J35" s="187">
        <f t="shared" si="13"/>
        <v>66.752161383285298</v>
      </c>
      <c r="K35" s="187">
        <f t="shared" si="13"/>
        <v>59.576368876080679</v>
      </c>
      <c r="L35" s="187">
        <f t="shared" si="13"/>
        <v>61.737752161383284</v>
      </c>
      <c r="M35" s="188">
        <f t="shared" si="13"/>
        <v>67.227665706051866</v>
      </c>
      <c r="N35" s="187">
        <f t="shared" si="13"/>
        <v>68.999999999999986</v>
      </c>
    </row>
    <row r="38" spans="1:14">
      <c r="C38" s="190"/>
      <c r="D38" s="191" t="s">
        <v>89</v>
      </c>
      <c r="E38" s="191" t="s">
        <v>12</v>
      </c>
      <c r="F38" s="191" t="s">
        <v>90</v>
      </c>
      <c r="G38" s="192" t="s">
        <v>91</v>
      </c>
    </row>
    <row r="39" spans="1:14">
      <c r="C39" s="193" t="s">
        <v>92</v>
      </c>
      <c r="D39" s="194">
        <f>AVERAGE(I14:L14,N14)</f>
        <v>67.703170028818448</v>
      </c>
      <c r="E39" s="194">
        <f>STDEV(I14:L14,N14)/SQRT(5)</f>
        <v>0.67675806481687517</v>
      </c>
      <c r="F39" s="195">
        <v>5</v>
      </c>
      <c r="G39" s="196">
        <f>E39/D39*100</f>
        <v>0.99959583063659663</v>
      </c>
    </row>
    <row r="40" spans="1:14">
      <c r="C40" s="193" t="s">
        <v>79</v>
      </c>
      <c r="D40" s="194">
        <f>AVERAGE(C14:H14)</f>
        <v>63.488472622478376</v>
      </c>
      <c r="E40" s="194">
        <f>STDEV(C14:H14)/SQRT(6)</f>
        <v>1.92233547662511</v>
      </c>
      <c r="F40" s="195">
        <v>6</v>
      </c>
      <c r="G40" s="196">
        <f>E40/D40*100</f>
        <v>3.0278496193409739</v>
      </c>
    </row>
    <row r="41" spans="1:14">
      <c r="C41" s="193" t="s">
        <v>93</v>
      </c>
      <c r="D41" s="194">
        <f>AVERAGE(I21:N21)</f>
        <v>70.484149855907773</v>
      </c>
      <c r="E41" s="194">
        <f>STDEV(I21:N21)/SQRT(6)</f>
        <v>1.721549286819078</v>
      </c>
      <c r="F41" s="195">
        <v>6</v>
      </c>
      <c r="G41" s="196">
        <f t="shared" ref="G41:G44" si="14">E41/D41*100</f>
        <v>2.4424630081209426</v>
      </c>
    </row>
    <row r="42" spans="1:14">
      <c r="C42" s="193" t="s">
        <v>81</v>
      </c>
      <c r="D42" s="194">
        <f>AVERAGE(C21:H21)</f>
        <v>66.896253602305464</v>
      </c>
      <c r="E42" s="194">
        <f>STDEV(C21:H21)/SQRT(6)</f>
        <v>1.2712494681710462</v>
      </c>
      <c r="F42" s="195">
        <v>6</v>
      </c>
      <c r="G42" s="196">
        <f t="shared" si="14"/>
        <v>1.9003298386910485</v>
      </c>
    </row>
    <row r="43" spans="1:14">
      <c r="C43" s="193" t="s">
        <v>19</v>
      </c>
      <c r="D43" s="194">
        <f>AVERAGE(C28:H28)</f>
        <v>69.15850144092218</v>
      </c>
      <c r="E43" s="194">
        <f>STDEV(C28:H28)/SQRT(6)</f>
        <v>0.63694628545531329</v>
      </c>
      <c r="F43" s="195">
        <v>6</v>
      </c>
      <c r="G43" s="196">
        <f t="shared" si="14"/>
        <v>0.92099492063085986</v>
      </c>
    </row>
    <row r="44" spans="1:14">
      <c r="C44" s="193" t="s">
        <v>64</v>
      </c>
      <c r="D44" s="194">
        <f>AVERAGE(I28:N28)</f>
        <v>66.80259365994236</v>
      </c>
      <c r="E44" s="194">
        <f>STDEV(I28:N28)/SQRT(6)</f>
        <v>0.59138402889957009</v>
      </c>
      <c r="F44" s="195">
        <v>6</v>
      </c>
      <c r="G44" s="196">
        <f t="shared" si="14"/>
        <v>0.88527105984836751</v>
      </c>
    </row>
    <row r="45" spans="1:14">
      <c r="C45" s="193" t="s">
        <v>17</v>
      </c>
      <c r="D45" s="194">
        <f>AVERAGE(C35:H35)</f>
        <v>68.056195965417871</v>
      </c>
      <c r="E45" s="194">
        <f>STDEV(C35:H35)/SQRT(6)</f>
        <v>0.8433581068431657</v>
      </c>
      <c r="F45" s="195">
        <v>6</v>
      </c>
      <c r="G45" s="196">
        <f>E45/D45*100</f>
        <v>1.2392084142812072</v>
      </c>
    </row>
    <row r="46" spans="1:14">
      <c r="C46" s="197" t="s">
        <v>63</v>
      </c>
      <c r="D46" s="198">
        <f>AVERAGE(I35:L35,N35)</f>
        <v>64.8328530259366</v>
      </c>
      <c r="E46" s="198">
        <f>STDEV(I35:L35,N35)/SQRT(5)</f>
        <v>1.7803082027316499</v>
      </c>
      <c r="F46" s="199">
        <v>5</v>
      </c>
      <c r="G46" s="200">
        <f>E46/D46*100</f>
        <v>2.7459970055913345</v>
      </c>
    </row>
  </sheetData>
  <mergeCells count="8">
    <mergeCell ref="C30:H30"/>
    <mergeCell ref="I30:N30"/>
    <mergeCell ref="C9:H9"/>
    <mergeCell ref="I9:N9"/>
    <mergeCell ref="C16:H16"/>
    <mergeCell ref="I16:N16"/>
    <mergeCell ref="C23:H23"/>
    <mergeCell ref="I23:N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9"/>
  <sheetViews>
    <sheetView zoomScale="70" zoomScaleNormal="70" workbookViewId="0">
      <selection activeCell="D45" sqref="D45"/>
    </sheetView>
  </sheetViews>
  <sheetFormatPr baseColWidth="10" defaultRowHeight="15"/>
  <sheetData>
    <row r="1" spans="1:12">
      <c r="A1" s="88" t="s">
        <v>43</v>
      </c>
      <c r="B1" s="88"/>
    </row>
    <row r="3" spans="1:12">
      <c r="A3" t="s">
        <v>44</v>
      </c>
      <c r="B3" s="89" t="s">
        <v>45</v>
      </c>
      <c r="C3" s="89"/>
      <c r="D3" s="89"/>
      <c r="E3" t="s">
        <v>11</v>
      </c>
      <c r="F3" t="s">
        <v>46</v>
      </c>
    </row>
    <row r="4" spans="1:12">
      <c r="A4">
        <v>0</v>
      </c>
      <c r="B4" s="76">
        <v>8.5000000000000006E-2</v>
      </c>
      <c r="C4" s="76">
        <v>8.7999999999999995E-2</v>
      </c>
      <c r="D4" s="76">
        <v>8.7999999999999995E-2</v>
      </c>
      <c r="E4" s="77">
        <f>AVERAGE(B4:D4)</f>
        <v>8.7000000000000008E-2</v>
      </c>
      <c r="F4" s="77">
        <f>E4-$E$4</f>
        <v>0</v>
      </c>
    </row>
    <row r="5" spans="1:12">
      <c r="A5">
        <v>0.6</v>
      </c>
      <c r="B5" s="76">
        <v>0.13600000000000001</v>
      </c>
      <c r="C5" s="76">
        <v>0.13800000000000001</v>
      </c>
      <c r="D5" s="76">
        <v>0.153</v>
      </c>
      <c r="E5" s="77">
        <f t="shared" ref="E5:E9" si="0">AVERAGE(B5:D5)</f>
        <v>0.14233333333333334</v>
      </c>
      <c r="F5" s="77">
        <f t="shared" ref="F5:F9" si="1">E5-$E$4</f>
        <v>5.5333333333333332E-2</v>
      </c>
    </row>
    <row r="6" spans="1:12">
      <c r="A6">
        <v>1.3</v>
      </c>
      <c r="B6" s="76">
        <v>0.17799999999999999</v>
      </c>
      <c r="C6" s="76">
        <v>0.188</v>
      </c>
      <c r="D6" s="76">
        <v>0.19</v>
      </c>
      <c r="E6" s="77">
        <f t="shared" si="0"/>
        <v>0.18533333333333335</v>
      </c>
      <c r="F6" s="77">
        <f t="shared" si="1"/>
        <v>9.8333333333333342E-2</v>
      </c>
    </row>
    <row r="7" spans="1:12">
      <c r="A7">
        <v>2.75</v>
      </c>
      <c r="B7" s="76">
        <v>0.27600000000000002</v>
      </c>
      <c r="C7" s="76">
        <v>0.29499999999999998</v>
      </c>
      <c r="D7" s="76">
        <v>0.308</v>
      </c>
      <c r="E7" s="77">
        <f t="shared" si="0"/>
        <v>0.29299999999999998</v>
      </c>
      <c r="F7" s="77">
        <f t="shared" si="1"/>
        <v>0.20599999999999996</v>
      </c>
    </row>
    <row r="8" spans="1:12">
      <c r="A8">
        <v>5</v>
      </c>
      <c r="B8" s="76">
        <v>0.51100000000000001</v>
      </c>
      <c r="C8" s="76">
        <v>0.50900000000000001</v>
      </c>
      <c r="D8" s="76">
        <v>0.50900000000000001</v>
      </c>
      <c r="E8" s="77">
        <f t="shared" si="0"/>
        <v>0.5096666666666666</v>
      </c>
      <c r="F8" s="77">
        <f t="shared" si="1"/>
        <v>0.42266666666666658</v>
      </c>
    </row>
    <row r="9" spans="1:12">
      <c r="A9">
        <v>11</v>
      </c>
      <c r="B9" s="76">
        <v>0.90900000000000003</v>
      </c>
      <c r="C9" s="76">
        <v>0.89</v>
      </c>
      <c r="D9" s="76">
        <v>0.89500000000000002</v>
      </c>
      <c r="E9" s="77">
        <f t="shared" si="0"/>
        <v>0.89800000000000002</v>
      </c>
      <c r="F9" s="77">
        <f t="shared" si="1"/>
        <v>0.81100000000000005</v>
      </c>
    </row>
    <row r="13" spans="1:12">
      <c r="J13" s="90" t="s">
        <v>47</v>
      </c>
      <c r="K13" s="90"/>
    </row>
    <row r="14" spans="1:12">
      <c r="D14" t="s">
        <v>48</v>
      </c>
      <c r="E14" t="s">
        <v>36</v>
      </c>
      <c r="F14" t="s">
        <v>37</v>
      </c>
      <c r="G14" s="91" t="s">
        <v>11</v>
      </c>
      <c r="H14" s="91" t="s">
        <v>49</v>
      </c>
      <c r="I14" s="91" t="s">
        <v>50</v>
      </c>
      <c r="J14" s="91" t="s">
        <v>11</v>
      </c>
      <c r="K14" s="91" t="s">
        <v>49</v>
      </c>
      <c r="L14" s="91" t="s">
        <v>50</v>
      </c>
    </row>
    <row r="15" spans="1:12">
      <c r="A15" s="92" t="s">
        <v>51</v>
      </c>
      <c r="B15">
        <v>1</v>
      </c>
      <c r="C15" s="76">
        <v>0.57299999999999995</v>
      </c>
      <c r="D15" s="77">
        <f>C15-$E$4</f>
        <v>0.48599999999999993</v>
      </c>
      <c r="E15" s="87">
        <f>(D15-0.01)/0.0743</f>
        <v>6.4064602960969026</v>
      </c>
      <c r="F15" s="87">
        <f>E15*2</f>
        <v>12.812920592193805</v>
      </c>
      <c r="G15" s="85">
        <f>AVERAGE(F15:F20)</f>
        <v>11.219724091520861</v>
      </c>
      <c r="H15" s="85">
        <f>STDEV(F15:F20)/SQRT(6)</f>
        <v>0.55778102711067268</v>
      </c>
      <c r="J15" s="85">
        <f>AVERAGE(F15:F16,F18:F20)</f>
        <v>11.321668909825032</v>
      </c>
      <c r="K15" s="85">
        <f>STDEV(F15:F16,F18:F20)/SQRT(5)</f>
        <v>0.67163263197849743</v>
      </c>
    </row>
    <row r="16" spans="1:12">
      <c r="A16" s="92"/>
      <c r="B16">
        <v>2</v>
      </c>
      <c r="C16" s="76">
        <v>0.42699999999999999</v>
      </c>
      <c r="D16" s="77">
        <f t="shared" ref="D16:D39" si="2">C16-$E$4</f>
        <v>0.33999999999999997</v>
      </c>
      <c r="E16" s="87">
        <f t="shared" ref="E16:E39" si="3">(D16-0.01)/0.0743</f>
        <v>4.4414535666218029</v>
      </c>
      <c r="F16" s="87">
        <f t="shared" ref="F16:F39" si="4">E16*2</f>
        <v>8.8829071332436058</v>
      </c>
      <c r="G16" s="93"/>
      <c r="H16" s="85"/>
      <c r="J16" s="93"/>
      <c r="K16" s="85"/>
    </row>
    <row r="17" spans="1:12">
      <c r="A17" s="92"/>
      <c r="B17">
        <v>3</v>
      </c>
      <c r="C17" s="76">
        <v>0.38100000000000001</v>
      </c>
      <c r="D17" s="77">
        <f t="shared" si="2"/>
        <v>0.29399999999999998</v>
      </c>
      <c r="E17" s="87">
        <f t="shared" si="3"/>
        <v>3.8223418573351271</v>
      </c>
      <c r="F17" s="94">
        <v>10.71</v>
      </c>
      <c r="G17" s="93"/>
      <c r="H17" s="85"/>
      <c r="J17" s="93"/>
      <c r="K17" s="85"/>
    </row>
    <row r="18" spans="1:12">
      <c r="A18" s="92"/>
      <c r="B18">
        <v>4</v>
      </c>
      <c r="C18" s="76">
        <v>0.51</v>
      </c>
      <c r="D18" s="77">
        <f t="shared" si="2"/>
        <v>0.42299999999999999</v>
      </c>
      <c r="E18" s="87">
        <f t="shared" si="3"/>
        <v>5.5585464333781962</v>
      </c>
      <c r="F18" s="87">
        <f t="shared" si="4"/>
        <v>11.117092866756392</v>
      </c>
      <c r="G18" s="93"/>
      <c r="H18" s="85"/>
      <c r="J18" s="93"/>
      <c r="K18" s="85"/>
    </row>
    <row r="19" spans="1:12">
      <c r="A19" s="92"/>
      <c r="B19">
        <v>5</v>
      </c>
      <c r="C19" s="76">
        <v>0.54900000000000004</v>
      </c>
      <c r="D19" s="77">
        <f t="shared" si="2"/>
        <v>0.46200000000000002</v>
      </c>
      <c r="E19" s="87">
        <f t="shared" si="3"/>
        <v>6.0834454912516822</v>
      </c>
      <c r="F19" s="87">
        <f t="shared" si="4"/>
        <v>12.166890982503364</v>
      </c>
      <c r="G19" s="93"/>
      <c r="H19" s="85"/>
      <c r="J19" s="93"/>
      <c r="K19" s="85"/>
    </row>
    <row r="20" spans="1:12">
      <c r="A20" s="92"/>
      <c r="B20">
        <v>6</v>
      </c>
      <c r="C20" s="76">
        <v>0.52900000000000003</v>
      </c>
      <c r="D20" s="77">
        <f t="shared" si="2"/>
        <v>0.442</v>
      </c>
      <c r="E20" s="87">
        <f t="shared" si="3"/>
        <v>5.8142664872139971</v>
      </c>
      <c r="F20" s="87">
        <f t="shared" si="4"/>
        <v>11.628532974427994</v>
      </c>
      <c r="G20" s="93"/>
      <c r="H20" s="85"/>
      <c r="I20" s="87">
        <f>H15/G15*100</f>
        <v>4.9714326534304654</v>
      </c>
      <c r="J20" s="93"/>
      <c r="K20" s="85"/>
      <c r="L20" s="87">
        <f>K15/J15*100</f>
        <v>5.9322758625775514</v>
      </c>
    </row>
    <row r="21" spans="1:12">
      <c r="A21" s="92" t="s">
        <v>52</v>
      </c>
      <c r="B21">
        <v>7</v>
      </c>
      <c r="C21" s="76">
        <v>0.48</v>
      </c>
      <c r="D21" s="77">
        <f t="shared" si="2"/>
        <v>0.39299999999999996</v>
      </c>
      <c r="E21" s="87">
        <f t="shared" si="3"/>
        <v>5.1547779273216676</v>
      </c>
      <c r="F21" s="87">
        <f t="shared" si="4"/>
        <v>10.309555854643335</v>
      </c>
      <c r="G21" s="85">
        <f>AVERAGE(F21:F24,F26:F27)</f>
        <v>10.170480035890533</v>
      </c>
      <c r="H21" s="85">
        <f>STDEV(F21:F24,F26:F27)/SQRT(6)</f>
        <v>0.32977937511422506</v>
      </c>
      <c r="J21" s="85">
        <f>AVERAGE(F21:F24,F26)</f>
        <v>9.8681022880215323</v>
      </c>
      <c r="K21" s="85">
        <f>STDEV(F21:F24,F26)/SQRT(5)</f>
        <v>0.16119305433733983</v>
      </c>
    </row>
    <row r="22" spans="1:12">
      <c r="A22" s="92"/>
      <c r="B22">
        <v>8</v>
      </c>
      <c r="C22" s="76">
        <v>0.46800000000000003</v>
      </c>
      <c r="D22" s="77">
        <f t="shared" si="2"/>
        <v>0.38100000000000001</v>
      </c>
      <c r="E22" s="87">
        <f t="shared" si="3"/>
        <v>4.9932705248990574</v>
      </c>
      <c r="F22" s="87">
        <f t="shared" si="4"/>
        <v>9.9865410497981149</v>
      </c>
      <c r="G22" s="85"/>
      <c r="H22" s="85"/>
      <c r="J22" s="85"/>
      <c r="K22" s="85"/>
    </row>
    <row r="23" spans="1:12">
      <c r="A23" s="92"/>
      <c r="B23">
        <v>9</v>
      </c>
      <c r="C23" s="76">
        <v>0.443</v>
      </c>
      <c r="D23" s="77">
        <f t="shared" si="2"/>
        <v>0.35599999999999998</v>
      </c>
      <c r="E23" s="87">
        <f t="shared" si="3"/>
        <v>4.656796769851951</v>
      </c>
      <c r="F23" s="87">
        <f t="shared" si="4"/>
        <v>9.313593539703902</v>
      </c>
      <c r="G23" s="85"/>
      <c r="H23" s="85"/>
      <c r="J23" s="85"/>
      <c r="K23" s="85"/>
    </row>
    <row r="24" spans="1:12">
      <c r="A24" s="92"/>
      <c r="B24">
        <v>10</v>
      </c>
      <c r="C24" s="76">
        <v>0.46500000000000002</v>
      </c>
      <c r="D24" s="77">
        <f t="shared" si="2"/>
        <v>0.378</v>
      </c>
      <c r="E24" s="87">
        <f t="shared" si="3"/>
        <v>4.9528936742934047</v>
      </c>
      <c r="F24" s="87">
        <f t="shared" si="4"/>
        <v>9.9057873485868093</v>
      </c>
      <c r="G24" s="85"/>
      <c r="H24" s="85"/>
      <c r="J24" s="85"/>
      <c r="K24" s="85"/>
    </row>
    <row r="25" spans="1:12">
      <c r="A25" s="92"/>
      <c r="B25" s="95">
        <v>11</v>
      </c>
      <c r="C25" s="76">
        <v>0.46500000000000002</v>
      </c>
      <c r="D25" s="77">
        <f t="shared" si="2"/>
        <v>0.378</v>
      </c>
      <c r="E25" s="87">
        <f t="shared" si="3"/>
        <v>4.9528936742934047</v>
      </c>
      <c r="F25" s="96">
        <f t="shared" si="4"/>
        <v>9.9057873485868093</v>
      </c>
      <c r="G25" s="85"/>
      <c r="H25" s="85"/>
      <c r="J25" s="85"/>
      <c r="K25" s="85"/>
    </row>
    <row r="26" spans="1:12">
      <c r="A26" s="92"/>
      <c r="B26">
        <v>12</v>
      </c>
      <c r="C26" s="76">
        <v>0.46200000000000002</v>
      </c>
      <c r="D26" s="77">
        <f t="shared" si="2"/>
        <v>0.375</v>
      </c>
      <c r="E26" s="87">
        <f t="shared" si="3"/>
        <v>4.9125168236877519</v>
      </c>
      <c r="F26" s="87">
        <f t="shared" si="4"/>
        <v>9.8250336473755038</v>
      </c>
      <c r="G26" s="85"/>
      <c r="H26" s="85"/>
      <c r="J26" s="85"/>
      <c r="K26" s="85"/>
    </row>
    <row r="27" spans="1:12">
      <c r="A27" s="92"/>
      <c r="B27">
        <v>13</v>
      </c>
      <c r="C27" s="76">
        <v>0.53100000000000003</v>
      </c>
      <c r="D27" s="77">
        <f t="shared" si="2"/>
        <v>0.44400000000000001</v>
      </c>
      <c r="E27" s="87">
        <f t="shared" si="3"/>
        <v>5.8411843876177656</v>
      </c>
      <c r="F27" s="97">
        <f t="shared" si="4"/>
        <v>11.682368775235531</v>
      </c>
      <c r="G27" s="85"/>
      <c r="H27" s="85"/>
      <c r="I27" s="87">
        <f>H21/G21*100</f>
        <v>3.2425153380220895</v>
      </c>
      <c r="J27" s="85"/>
      <c r="K27" s="85"/>
      <c r="L27" s="87">
        <f>K21/J21*100</f>
        <v>1.6334757143022844</v>
      </c>
    </row>
    <row r="28" spans="1:12">
      <c r="A28" s="92" t="s">
        <v>53</v>
      </c>
      <c r="B28">
        <v>1</v>
      </c>
      <c r="C28" s="76">
        <v>0.39</v>
      </c>
      <c r="D28" s="77">
        <f t="shared" si="2"/>
        <v>0.30299999999999999</v>
      </c>
      <c r="E28" s="87">
        <f t="shared" si="3"/>
        <v>3.9434724091520859</v>
      </c>
      <c r="F28" s="87">
        <f t="shared" si="4"/>
        <v>7.8869448183041717</v>
      </c>
      <c r="G28" s="85">
        <f>AVERAGE(F28:F33)</f>
        <v>9.1072229699416773</v>
      </c>
      <c r="H28" s="85">
        <f>STDEV(F28:F33)/SQRT(6)</f>
        <v>0.56883948694219955</v>
      </c>
      <c r="J28" s="85">
        <f>AVERAGE(F28:F31,F33)</f>
        <v>9.5289367429340501</v>
      </c>
      <c r="K28" s="85">
        <f>STDEV(F28:F31,F33)/SQRT(5)</f>
        <v>0.46755083505412304</v>
      </c>
    </row>
    <row r="29" spans="1:12">
      <c r="A29" s="92"/>
      <c r="B29">
        <v>2</v>
      </c>
      <c r="C29" s="76">
        <v>0.46700000000000003</v>
      </c>
      <c r="D29" s="77">
        <f t="shared" si="2"/>
        <v>0.38</v>
      </c>
      <c r="E29" s="87">
        <f t="shared" si="3"/>
        <v>4.9798115746971732</v>
      </c>
      <c r="F29" s="87">
        <f t="shared" si="4"/>
        <v>9.9596231493943463</v>
      </c>
      <c r="G29" s="93"/>
      <c r="H29" s="85"/>
      <c r="J29" s="93"/>
      <c r="K29" s="85"/>
    </row>
    <row r="30" spans="1:12">
      <c r="A30" s="92"/>
      <c r="B30">
        <v>3</v>
      </c>
      <c r="C30" s="76">
        <v>0.44700000000000001</v>
      </c>
      <c r="D30" s="77">
        <f t="shared" si="2"/>
        <v>0.36</v>
      </c>
      <c r="E30" s="87">
        <f t="shared" si="3"/>
        <v>4.710632570659488</v>
      </c>
      <c r="F30" s="87">
        <f t="shared" si="4"/>
        <v>9.4212651413189761</v>
      </c>
      <c r="G30" s="93"/>
      <c r="H30" s="85"/>
      <c r="J30" s="93"/>
      <c r="K30" s="85"/>
    </row>
    <row r="31" spans="1:12">
      <c r="A31" s="92"/>
      <c r="B31">
        <v>4</v>
      </c>
      <c r="C31" s="76">
        <v>0.496</v>
      </c>
      <c r="D31" s="77">
        <f t="shared" si="2"/>
        <v>0.40899999999999997</v>
      </c>
      <c r="E31" s="87">
        <f t="shared" si="3"/>
        <v>5.3701211305518157</v>
      </c>
      <c r="F31" s="87">
        <f t="shared" si="4"/>
        <v>10.740242261103631</v>
      </c>
      <c r="G31" s="93"/>
      <c r="H31" s="85"/>
      <c r="J31" s="93"/>
      <c r="K31" s="85"/>
    </row>
    <row r="32" spans="1:12">
      <c r="A32" s="92"/>
      <c r="B32">
        <v>5</v>
      </c>
      <c r="C32" s="76">
        <v>0.35699999999999998</v>
      </c>
      <c r="D32" s="77">
        <f t="shared" si="2"/>
        <v>0.26999999999999996</v>
      </c>
      <c r="E32" s="87">
        <f t="shared" si="3"/>
        <v>3.4993270524899049</v>
      </c>
      <c r="F32" s="96">
        <f t="shared" si="4"/>
        <v>6.9986541049798099</v>
      </c>
      <c r="G32" s="93"/>
      <c r="H32" s="85"/>
      <c r="J32" s="93"/>
      <c r="K32" s="85"/>
    </row>
    <row r="33" spans="1:12">
      <c r="A33" s="92"/>
      <c r="B33">
        <v>6</v>
      </c>
      <c r="C33" s="76">
        <v>0.45500000000000002</v>
      </c>
      <c r="D33" s="77">
        <f t="shared" si="2"/>
        <v>0.36799999999999999</v>
      </c>
      <c r="E33" s="87">
        <f t="shared" si="3"/>
        <v>4.8183041722745621</v>
      </c>
      <c r="F33" s="87">
        <f t="shared" si="4"/>
        <v>9.6366083445491242</v>
      </c>
      <c r="G33" s="93"/>
      <c r="H33" s="85"/>
      <c r="I33" s="87">
        <f>H28/G28*100</f>
        <v>6.2460256965229703</v>
      </c>
      <c r="J33" s="93"/>
      <c r="K33" s="85"/>
      <c r="L33" s="87">
        <f>K28/J28*100</f>
        <v>4.9066422379267438</v>
      </c>
    </row>
    <row r="34" spans="1:12">
      <c r="A34" s="92" t="s">
        <v>54</v>
      </c>
      <c r="B34">
        <v>7</v>
      </c>
      <c r="C34" s="76">
        <v>0.42799999999999999</v>
      </c>
      <c r="D34" s="77">
        <f t="shared" si="2"/>
        <v>0.34099999999999997</v>
      </c>
      <c r="E34" s="87">
        <f t="shared" si="3"/>
        <v>4.4549125168236872</v>
      </c>
      <c r="F34" s="87">
        <f t="shared" si="4"/>
        <v>8.9098250336473743</v>
      </c>
      <c r="G34" s="85">
        <f>AVERAGE(F34:F39)</f>
        <v>9.1251682368775224</v>
      </c>
      <c r="H34" s="85">
        <f>STDEV(F34:F39)/SQRT(6)</f>
        <v>0.56953256429101029</v>
      </c>
      <c r="J34" s="85">
        <f>AVERAGE(F34:F38)</f>
        <v>8.5814266487213988</v>
      </c>
      <c r="K34" s="85">
        <f>STDEV(F34:F38)/SQRT(5)</f>
        <v>0.20752985483064748</v>
      </c>
    </row>
    <row r="35" spans="1:12">
      <c r="A35" s="92"/>
      <c r="B35">
        <v>8</v>
      </c>
      <c r="C35" s="76">
        <v>0.40200000000000002</v>
      </c>
      <c r="D35" s="77">
        <f t="shared" si="2"/>
        <v>0.315</v>
      </c>
      <c r="E35" s="87">
        <f t="shared" si="3"/>
        <v>4.1049798115746965</v>
      </c>
      <c r="F35" s="87">
        <f t="shared" si="4"/>
        <v>8.209959623149393</v>
      </c>
      <c r="G35" s="93"/>
      <c r="H35" s="85"/>
      <c r="J35" s="93"/>
      <c r="K35" s="85"/>
    </row>
    <row r="36" spans="1:12">
      <c r="A36" s="92"/>
      <c r="B36">
        <v>9</v>
      </c>
      <c r="C36" s="76">
        <v>0.39700000000000002</v>
      </c>
      <c r="D36" s="77">
        <f t="shared" si="2"/>
        <v>0.31</v>
      </c>
      <c r="E36" s="87">
        <f t="shared" si="3"/>
        <v>4.0376850605652752</v>
      </c>
      <c r="F36" s="87">
        <f t="shared" si="4"/>
        <v>8.0753701211305504</v>
      </c>
      <c r="G36" s="93"/>
      <c r="H36" s="85"/>
      <c r="J36" s="93"/>
      <c r="K36" s="85"/>
    </row>
    <row r="37" spans="1:12">
      <c r="A37" s="92"/>
      <c r="B37">
        <v>10</v>
      </c>
      <c r="C37" s="76">
        <v>0.41399999999999998</v>
      </c>
      <c r="D37" s="77">
        <f t="shared" si="2"/>
        <v>0.32699999999999996</v>
      </c>
      <c r="E37" s="87">
        <f t="shared" si="3"/>
        <v>4.2664872139973076</v>
      </c>
      <c r="F37" s="87">
        <f t="shared" si="4"/>
        <v>8.5329744279946151</v>
      </c>
      <c r="G37" s="93"/>
      <c r="H37" s="85"/>
      <c r="J37" s="93"/>
      <c r="K37" s="85"/>
    </row>
    <row r="38" spans="1:12">
      <c r="A38" s="92"/>
      <c r="B38">
        <v>11</v>
      </c>
      <c r="C38" s="76">
        <v>0.438</v>
      </c>
      <c r="D38" s="77">
        <f t="shared" si="2"/>
        <v>0.35099999999999998</v>
      </c>
      <c r="E38" s="87">
        <f t="shared" si="3"/>
        <v>4.5895020188425297</v>
      </c>
      <c r="F38" s="87">
        <f t="shared" si="4"/>
        <v>9.1790040376850595</v>
      </c>
      <c r="G38" s="93"/>
      <c r="H38" s="85"/>
      <c r="J38" s="93"/>
      <c r="K38" s="85"/>
    </row>
    <row r="39" spans="1:12">
      <c r="A39" s="92"/>
      <c r="B39">
        <v>12</v>
      </c>
      <c r="C39" s="76">
        <v>0.53700000000000003</v>
      </c>
      <c r="D39" s="77">
        <f t="shared" si="2"/>
        <v>0.45</v>
      </c>
      <c r="E39" s="87">
        <f t="shared" si="3"/>
        <v>5.9219380888290711</v>
      </c>
      <c r="F39" s="97">
        <f t="shared" si="4"/>
        <v>11.843876177658142</v>
      </c>
      <c r="G39" s="93"/>
      <c r="H39" s="85"/>
      <c r="I39" s="87">
        <f>H34/G34*100</f>
        <v>6.2413376883218392</v>
      </c>
      <c r="J39" s="93"/>
      <c r="K39" s="85"/>
      <c r="L39" s="87">
        <f>K34/J34*100</f>
        <v>2.4183607612793456</v>
      </c>
    </row>
  </sheetData>
  <mergeCells count="23">
    <mergeCell ref="A34:A39"/>
    <mergeCell ref="G34:G39"/>
    <mergeCell ref="H34:H39"/>
    <mergeCell ref="J34:J39"/>
    <mergeCell ref="K34:K39"/>
    <mergeCell ref="A21:A27"/>
    <mergeCell ref="G21:G27"/>
    <mergeCell ref="H21:H27"/>
    <mergeCell ref="J21:J27"/>
    <mergeCell ref="K21:K27"/>
    <mergeCell ref="A28:A33"/>
    <mergeCell ref="G28:G33"/>
    <mergeCell ref="H28:H33"/>
    <mergeCell ref="J28:J33"/>
    <mergeCell ref="K28:K33"/>
    <mergeCell ref="A1:B1"/>
    <mergeCell ref="B3:D3"/>
    <mergeCell ref="J13:K13"/>
    <mergeCell ref="A15:A20"/>
    <mergeCell ref="G15:G20"/>
    <mergeCell ref="H15:H20"/>
    <mergeCell ref="J15:J20"/>
    <mergeCell ref="K15:K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9"/>
  <sheetViews>
    <sheetView zoomScale="70" zoomScaleNormal="70" workbookViewId="0">
      <selection activeCell="D48" sqref="D48"/>
    </sheetView>
  </sheetViews>
  <sheetFormatPr baseColWidth="10" defaultRowHeight="12.75"/>
  <cols>
    <col min="1" max="16384" width="11.42578125" style="50"/>
  </cols>
  <sheetData>
    <row r="1" spans="1:11">
      <c r="A1" s="98" t="s">
        <v>0</v>
      </c>
      <c r="B1" s="98"/>
      <c r="C1" s="98"/>
      <c r="D1" s="58" t="s">
        <v>11</v>
      </c>
      <c r="E1" s="58" t="s">
        <v>55</v>
      </c>
      <c r="H1" s="99" t="s">
        <v>56</v>
      </c>
      <c r="I1" s="100"/>
    </row>
    <row r="2" spans="1:11">
      <c r="A2" s="58" t="s">
        <v>31</v>
      </c>
      <c r="H2" s="100"/>
      <c r="I2" s="100"/>
    </row>
    <row r="3" spans="1:11">
      <c r="A3" s="58">
        <v>0</v>
      </c>
      <c r="B3" s="101">
        <v>4.4999999999999998E-2</v>
      </c>
      <c r="C3" s="101">
        <v>4.5999999999999999E-2</v>
      </c>
      <c r="D3" s="102">
        <f>AVERAGE(B3:C3)</f>
        <v>4.5499999999999999E-2</v>
      </c>
      <c r="E3" s="102">
        <f>D3-$D$3</f>
        <v>0</v>
      </c>
    </row>
    <row r="4" spans="1:11">
      <c r="A4" s="58">
        <v>0.1404</v>
      </c>
      <c r="B4" s="103">
        <v>0.17599999999999999</v>
      </c>
      <c r="C4" s="101">
        <v>0.105</v>
      </c>
      <c r="D4" s="102">
        <f t="shared" ref="D4:D39" si="0">AVERAGE(B4:C4)</f>
        <v>0.14049999999999999</v>
      </c>
      <c r="E4" s="102">
        <f t="shared" ref="E4:E39" si="1">D4-$D$3</f>
        <v>9.4999999999999987E-2</v>
      </c>
    </row>
    <row r="5" spans="1:11">
      <c r="A5" s="58">
        <v>0.28100000000000003</v>
      </c>
      <c r="B5" s="103">
        <v>0.28799999999999998</v>
      </c>
      <c r="C5" s="103">
        <v>0.218</v>
      </c>
      <c r="D5" s="102">
        <f t="shared" si="0"/>
        <v>0.253</v>
      </c>
      <c r="E5" s="102">
        <f t="shared" si="1"/>
        <v>0.20750000000000002</v>
      </c>
    </row>
    <row r="6" spans="1:11">
      <c r="A6" s="58">
        <v>0.5615</v>
      </c>
      <c r="B6" s="104">
        <v>0.623</v>
      </c>
      <c r="C6" s="105">
        <v>0.42099999999999999</v>
      </c>
      <c r="D6" s="102">
        <f t="shared" si="0"/>
        <v>0.52200000000000002</v>
      </c>
      <c r="E6" s="102">
        <f t="shared" si="1"/>
        <v>0.47650000000000003</v>
      </c>
    </row>
    <row r="7" spans="1:11">
      <c r="A7" s="58">
        <v>1.123</v>
      </c>
      <c r="B7" s="106">
        <v>1.369</v>
      </c>
      <c r="C7" s="106">
        <v>1.087</v>
      </c>
      <c r="D7" s="102">
        <f t="shared" si="0"/>
        <v>1.228</v>
      </c>
      <c r="E7" s="102">
        <f t="shared" si="1"/>
        <v>1.1824999999999999</v>
      </c>
    </row>
    <row r="8" spans="1:11">
      <c r="D8" s="102"/>
      <c r="E8" s="102"/>
      <c r="J8" s="107" t="s">
        <v>8</v>
      </c>
      <c r="K8" s="107"/>
    </row>
    <row r="9" spans="1:11">
      <c r="B9" s="98" t="s">
        <v>13</v>
      </c>
      <c r="C9" s="98"/>
      <c r="D9" s="102"/>
      <c r="E9" s="102"/>
      <c r="F9" s="58" t="s">
        <v>57</v>
      </c>
      <c r="G9" s="58" t="s">
        <v>58</v>
      </c>
      <c r="H9" s="58" t="s">
        <v>11</v>
      </c>
      <c r="I9" s="58" t="s">
        <v>59</v>
      </c>
      <c r="J9" s="108" t="s">
        <v>11</v>
      </c>
      <c r="K9" s="108" t="s">
        <v>59</v>
      </c>
    </row>
    <row r="10" spans="1:11">
      <c r="A10" s="109">
        <v>1</v>
      </c>
      <c r="B10" s="105">
        <v>0.30599999999999999</v>
      </c>
      <c r="C10" s="105">
        <v>0.52500000000000002</v>
      </c>
      <c r="D10" s="102">
        <f t="shared" si="0"/>
        <v>0.41549999999999998</v>
      </c>
      <c r="E10" s="102">
        <f t="shared" si="1"/>
        <v>0.37</v>
      </c>
      <c r="F10" s="102">
        <f>(E10+0.0571)/1.0671</f>
        <v>0.40024365101677445</v>
      </c>
      <c r="G10" s="110">
        <f>F10*4</f>
        <v>1.6009746040670978</v>
      </c>
      <c r="H10" s="111">
        <f>AVERAGE(G10:G15)</f>
        <v>2.3325524005872618</v>
      </c>
      <c r="I10" s="111">
        <f>STDEV(G10:G15)/SQRT(6)</f>
        <v>0.27822930016445419</v>
      </c>
      <c r="J10" s="111">
        <f>AVERAGE(G10:G13,G15)</f>
        <v>2.1111423484209544</v>
      </c>
      <c r="K10" s="111">
        <f>STDEV(G15,G10:G13)/SQRT(5)</f>
        <v>0.20635817988287472</v>
      </c>
    </row>
    <row r="11" spans="1:11">
      <c r="A11" s="109">
        <v>2</v>
      </c>
      <c r="B11" s="106">
        <v>0.74199999999999999</v>
      </c>
      <c r="C11" s="106">
        <v>0.73399999999999999</v>
      </c>
      <c r="D11" s="102">
        <f t="shared" si="0"/>
        <v>0.73799999999999999</v>
      </c>
      <c r="E11" s="102">
        <f t="shared" si="1"/>
        <v>0.6925</v>
      </c>
      <c r="F11" s="102">
        <f t="shared" ref="F11:F39" si="2">(E11+0.0571)/1.0671</f>
        <v>0.70246462374660301</v>
      </c>
      <c r="G11" s="110">
        <f t="shared" ref="G11:G39" si="3">F11*4</f>
        <v>2.809858494986412</v>
      </c>
      <c r="H11" s="111"/>
      <c r="I11" s="111"/>
      <c r="J11" s="111"/>
      <c r="K11" s="111"/>
    </row>
    <row r="12" spans="1:11">
      <c r="A12" s="109">
        <v>3</v>
      </c>
      <c r="B12" s="103">
        <v>0.49099999999999999</v>
      </c>
      <c r="C12" s="103">
        <v>0.44700000000000001</v>
      </c>
      <c r="D12" s="102">
        <f t="shared" si="0"/>
        <v>0.46899999999999997</v>
      </c>
      <c r="E12" s="102">
        <f t="shared" si="1"/>
        <v>0.42349999999999999</v>
      </c>
      <c r="F12" s="102">
        <f t="shared" si="2"/>
        <v>0.45037953331459096</v>
      </c>
      <c r="G12" s="110">
        <f t="shared" si="3"/>
        <v>1.8015181332583639</v>
      </c>
      <c r="H12" s="111"/>
      <c r="I12" s="111"/>
      <c r="J12" s="111"/>
      <c r="K12" s="111"/>
    </row>
    <row r="13" spans="1:11">
      <c r="A13" s="109">
        <v>4</v>
      </c>
      <c r="B13" s="103">
        <v>0.59399999999999997</v>
      </c>
      <c r="C13" s="103">
        <v>0.54200000000000004</v>
      </c>
      <c r="D13" s="102">
        <f t="shared" si="0"/>
        <v>0.56800000000000006</v>
      </c>
      <c r="E13" s="102">
        <f t="shared" si="1"/>
        <v>0.52250000000000008</v>
      </c>
      <c r="F13" s="102">
        <f t="shared" si="2"/>
        <v>0.54315434354793379</v>
      </c>
      <c r="G13" s="110">
        <f t="shared" si="3"/>
        <v>2.1726173741917352</v>
      </c>
      <c r="H13" s="111"/>
      <c r="I13" s="111"/>
      <c r="J13" s="111"/>
      <c r="K13" s="111"/>
    </row>
    <row r="14" spans="1:11">
      <c r="A14" s="109">
        <v>5</v>
      </c>
      <c r="B14" s="104">
        <v>0.96599999999999997</v>
      </c>
      <c r="C14" s="104">
        <v>0.84599999999999997</v>
      </c>
      <c r="D14" s="102">
        <f t="shared" si="0"/>
        <v>0.90599999999999992</v>
      </c>
      <c r="E14" s="102">
        <f t="shared" si="1"/>
        <v>0.86049999999999993</v>
      </c>
      <c r="F14" s="102">
        <f t="shared" si="2"/>
        <v>0.85990066535469967</v>
      </c>
      <c r="G14" s="112">
        <f t="shared" si="3"/>
        <v>3.4396026614187987</v>
      </c>
      <c r="H14" s="111"/>
      <c r="I14" s="111"/>
      <c r="J14" s="111"/>
      <c r="K14" s="111"/>
    </row>
    <row r="15" spans="1:11">
      <c r="A15" s="109">
        <v>6</v>
      </c>
      <c r="B15" s="103">
        <v>0.56100000000000005</v>
      </c>
      <c r="C15" s="103">
        <v>0.57399999999999995</v>
      </c>
      <c r="D15" s="102">
        <f t="shared" si="0"/>
        <v>0.5675</v>
      </c>
      <c r="E15" s="102">
        <f t="shared" si="1"/>
        <v>0.52200000000000002</v>
      </c>
      <c r="F15" s="102">
        <f t="shared" si="2"/>
        <v>0.54268578390029054</v>
      </c>
      <c r="G15" s="110">
        <f t="shared" si="3"/>
        <v>2.1707431356011622</v>
      </c>
      <c r="H15" s="111"/>
      <c r="I15" s="111"/>
      <c r="J15" s="111"/>
      <c r="K15" s="111"/>
    </row>
    <row r="16" spans="1:11">
      <c r="D16" s="102"/>
      <c r="E16" s="102"/>
      <c r="F16" s="102"/>
      <c r="G16" s="110"/>
      <c r="I16" s="102"/>
    </row>
    <row r="17" spans="1:9">
      <c r="B17" s="98" t="s">
        <v>14</v>
      </c>
      <c r="C17" s="98"/>
      <c r="D17" s="102"/>
      <c r="E17" s="102"/>
      <c r="F17" s="102"/>
      <c r="G17" s="110"/>
      <c r="I17" s="102"/>
    </row>
    <row r="18" spans="1:9">
      <c r="A18" s="109">
        <v>7</v>
      </c>
      <c r="B18" s="103">
        <v>0.499</v>
      </c>
      <c r="C18" s="103">
        <v>0.49</v>
      </c>
      <c r="D18" s="102">
        <f t="shared" si="0"/>
        <v>0.4945</v>
      </c>
      <c r="E18" s="102">
        <f t="shared" si="1"/>
        <v>0.44900000000000001</v>
      </c>
      <c r="F18" s="102">
        <f t="shared" si="2"/>
        <v>0.47427607534439137</v>
      </c>
      <c r="G18" s="110">
        <f t="shared" si="3"/>
        <v>1.8971043013775655</v>
      </c>
      <c r="H18" s="111">
        <f>AVERAGE(G18:G23)</f>
        <v>2.2288445319089125</v>
      </c>
      <c r="I18" s="111">
        <f>STDEV(G18:G23)/SQRT(6)</f>
        <v>8.6210900638339499E-2</v>
      </c>
    </row>
    <row r="19" spans="1:9">
      <c r="A19" s="109">
        <v>8</v>
      </c>
      <c r="B19" s="106">
        <v>0.63900000000000001</v>
      </c>
      <c r="C19" s="106">
        <v>0.66100000000000003</v>
      </c>
      <c r="D19" s="102">
        <f t="shared" si="0"/>
        <v>0.65</v>
      </c>
      <c r="E19" s="102">
        <f t="shared" si="1"/>
        <v>0.60450000000000004</v>
      </c>
      <c r="F19" s="102">
        <f t="shared" si="2"/>
        <v>0.61999812576140956</v>
      </c>
      <c r="G19" s="110">
        <f t="shared" si="3"/>
        <v>2.4799925030456382</v>
      </c>
      <c r="H19" s="111"/>
      <c r="I19" s="111"/>
    </row>
    <row r="20" spans="1:9">
      <c r="A20" s="109">
        <v>9</v>
      </c>
      <c r="B20" s="104">
        <v>0.68600000000000005</v>
      </c>
      <c r="C20" s="105">
        <v>0.56999999999999995</v>
      </c>
      <c r="D20" s="102">
        <f t="shared" si="0"/>
        <v>0.628</v>
      </c>
      <c r="E20" s="102">
        <f t="shared" si="1"/>
        <v>0.58250000000000002</v>
      </c>
      <c r="F20" s="102">
        <f t="shared" si="2"/>
        <v>0.59938150126511114</v>
      </c>
      <c r="G20" s="110">
        <f t="shared" si="3"/>
        <v>2.3975260050604446</v>
      </c>
      <c r="H20" s="111"/>
      <c r="I20" s="111"/>
    </row>
    <row r="21" spans="1:9">
      <c r="A21" s="109">
        <v>10</v>
      </c>
      <c r="B21" s="103">
        <v>0.60299999999999998</v>
      </c>
      <c r="C21" s="103">
        <v>0.57099999999999995</v>
      </c>
      <c r="D21" s="102">
        <f t="shared" si="0"/>
        <v>0.58699999999999997</v>
      </c>
      <c r="E21" s="102">
        <f t="shared" si="1"/>
        <v>0.54149999999999998</v>
      </c>
      <c r="F21" s="102">
        <f t="shared" si="2"/>
        <v>0.56095961015837326</v>
      </c>
      <c r="G21" s="110">
        <f t="shared" si="3"/>
        <v>2.243838440633493</v>
      </c>
      <c r="H21" s="111"/>
      <c r="I21" s="111"/>
    </row>
    <row r="22" spans="1:9">
      <c r="A22" s="109">
        <v>11</v>
      </c>
      <c r="B22" s="103">
        <v>0.54900000000000004</v>
      </c>
      <c r="C22" s="103">
        <v>0.54200000000000004</v>
      </c>
      <c r="D22" s="102">
        <f t="shared" si="0"/>
        <v>0.5455000000000001</v>
      </c>
      <c r="E22" s="102">
        <f t="shared" si="1"/>
        <v>0.50000000000000011</v>
      </c>
      <c r="F22" s="102">
        <f t="shared" si="2"/>
        <v>0.52206915940399234</v>
      </c>
      <c r="G22" s="110">
        <f t="shared" si="3"/>
        <v>2.0882766376159694</v>
      </c>
      <c r="H22" s="111"/>
      <c r="I22" s="111"/>
    </row>
    <row r="23" spans="1:9">
      <c r="A23" s="109">
        <v>12</v>
      </c>
      <c r="B23" s="103">
        <v>0.58099999999999996</v>
      </c>
      <c r="C23" s="103">
        <v>0.60499999999999998</v>
      </c>
      <c r="D23" s="102">
        <f t="shared" si="0"/>
        <v>0.59299999999999997</v>
      </c>
      <c r="E23" s="102">
        <f t="shared" si="1"/>
        <v>0.54749999999999999</v>
      </c>
      <c r="F23" s="102">
        <f t="shared" si="2"/>
        <v>0.56658232593009095</v>
      </c>
      <c r="G23" s="110">
        <f t="shared" si="3"/>
        <v>2.2663293037203638</v>
      </c>
      <c r="H23" s="111"/>
      <c r="I23" s="111"/>
    </row>
    <row r="24" spans="1:9">
      <c r="D24" s="102"/>
      <c r="E24" s="102"/>
      <c r="F24" s="102"/>
      <c r="G24" s="110"/>
    </row>
    <row r="25" spans="1:9">
      <c r="B25" s="98" t="s">
        <v>60</v>
      </c>
      <c r="C25" s="98"/>
      <c r="D25" s="102"/>
      <c r="E25" s="102"/>
      <c r="F25" s="102"/>
      <c r="G25" s="110"/>
    </row>
    <row r="26" spans="1:9">
      <c r="A26" s="109">
        <v>13</v>
      </c>
      <c r="B26" s="106">
        <v>0.625</v>
      </c>
      <c r="C26" s="103">
        <v>0.58499999999999996</v>
      </c>
      <c r="D26" s="102">
        <f t="shared" si="0"/>
        <v>0.60499999999999998</v>
      </c>
      <c r="E26" s="102">
        <f t="shared" si="1"/>
        <v>0.5595</v>
      </c>
      <c r="F26" s="102">
        <f t="shared" si="2"/>
        <v>0.57782775747352644</v>
      </c>
      <c r="G26" s="110">
        <f t="shared" si="3"/>
        <v>2.3113110298941058</v>
      </c>
      <c r="H26" s="111">
        <f>AVERAGE(G26:G31)</f>
        <v>2.5467216113958702</v>
      </c>
      <c r="I26" s="111">
        <f>STDEV(G26:G31)/SQRT(6)</f>
        <v>0.18871533182622488</v>
      </c>
    </row>
    <row r="27" spans="1:9">
      <c r="A27" s="109">
        <v>14</v>
      </c>
      <c r="B27" s="103">
        <v>0.53100000000000003</v>
      </c>
      <c r="C27" s="103">
        <v>0.56100000000000005</v>
      </c>
      <c r="D27" s="102">
        <f t="shared" si="0"/>
        <v>0.54600000000000004</v>
      </c>
      <c r="E27" s="102">
        <f t="shared" si="1"/>
        <v>0.50050000000000006</v>
      </c>
      <c r="F27" s="102">
        <f t="shared" si="2"/>
        <v>0.52253771905163537</v>
      </c>
      <c r="G27" s="110">
        <f t="shared" si="3"/>
        <v>2.0901508762065415</v>
      </c>
      <c r="H27" s="111"/>
      <c r="I27" s="111"/>
    </row>
    <row r="28" spans="1:9">
      <c r="A28" s="109">
        <v>15</v>
      </c>
      <c r="B28" s="103">
        <v>0.435</v>
      </c>
      <c r="C28" s="103">
        <v>0.499</v>
      </c>
      <c r="D28" s="102">
        <f t="shared" si="0"/>
        <v>0.46699999999999997</v>
      </c>
      <c r="E28" s="102">
        <f t="shared" si="1"/>
        <v>0.42149999999999999</v>
      </c>
      <c r="F28" s="102">
        <f t="shared" si="2"/>
        <v>0.44850529472401834</v>
      </c>
      <c r="G28" s="110">
        <v>3.2053274139844623</v>
      </c>
      <c r="H28" s="111"/>
      <c r="I28" s="111"/>
    </row>
    <row r="29" spans="1:9">
      <c r="A29" s="109">
        <v>16</v>
      </c>
      <c r="B29" s="105">
        <v>0.505</v>
      </c>
      <c r="C29" s="105">
        <v>0.39400000000000002</v>
      </c>
      <c r="D29" s="102">
        <f t="shared" si="0"/>
        <v>0.44950000000000001</v>
      </c>
      <c r="E29" s="102">
        <f t="shared" si="1"/>
        <v>0.40400000000000003</v>
      </c>
      <c r="F29" s="102">
        <f t="shared" si="2"/>
        <v>0.4321057070565083</v>
      </c>
      <c r="G29" s="110">
        <v>3.0471698113207557</v>
      </c>
      <c r="H29" s="111"/>
      <c r="I29" s="111"/>
    </row>
    <row r="30" spans="1:9">
      <c r="A30" s="109">
        <v>17</v>
      </c>
      <c r="B30" s="103">
        <v>0.6</v>
      </c>
      <c r="C30" s="106">
        <v>0.65100000000000002</v>
      </c>
      <c r="D30" s="102">
        <f t="shared" si="0"/>
        <v>0.62549999999999994</v>
      </c>
      <c r="E30" s="102">
        <f t="shared" si="1"/>
        <v>0.57999999999999996</v>
      </c>
      <c r="F30" s="102">
        <f t="shared" si="2"/>
        <v>0.59703870302689532</v>
      </c>
      <c r="G30" s="110">
        <f t="shared" si="3"/>
        <v>2.3881548121075813</v>
      </c>
      <c r="H30" s="111"/>
      <c r="I30" s="111"/>
    </row>
    <row r="31" spans="1:9">
      <c r="A31" s="109">
        <v>18</v>
      </c>
      <c r="B31" s="103">
        <v>0.56499999999999995</v>
      </c>
      <c r="C31" s="103">
        <v>0.60599999999999998</v>
      </c>
      <c r="D31" s="102">
        <f t="shared" si="0"/>
        <v>0.58549999999999991</v>
      </c>
      <c r="E31" s="102">
        <f t="shared" si="1"/>
        <v>0.53999999999999992</v>
      </c>
      <c r="F31" s="102">
        <f t="shared" si="2"/>
        <v>0.55955393121544372</v>
      </c>
      <c r="G31" s="110">
        <f t="shared" si="3"/>
        <v>2.2382157248617749</v>
      </c>
      <c r="H31" s="111"/>
      <c r="I31" s="111"/>
    </row>
    <row r="32" spans="1:9">
      <c r="D32" s="102"/>
      <c r="E32" s="102"/>
      <c r="F32" s="102"/>
      <c r="G32" s="110"/>
    </row>
    <row r="33" spans="1:9">
      <c r="B33" s="98" t="s">
        <v>16</v>
      </c>
      <c r="C33" s="98"/>
      <c r="D33" s="102"/>
      <c r="E33" s="102"/>
      <c r="F33" s="102"/>
      <c r="G33" s="110"/>
    </row>
    <row r="34" spans="1:9">
      <c r="A34" s="109">
        <v>19</v>
      </c>
      <c r="B34" s="105">
        <v>0.53900000000000003</v>
      </c>
      <c r="C34" s="104">
        <v>0.78700000000000003</v>
      </c>
      <c r="D34" s="102">
        <f t="shared" si="0"/>
        <v>0.66300000000000003</v>
      </c>
      <c r="E34" s="102">
        <f t="shared" si="1"/>
        <v>0.61750000000000005</v>
      </c>
      <c r="F34" s="102">
        <f t="shared" si="2"/>
        <v>0.63218067660013133</v>
      </c>
      <c r="G34" s="110">
        <f t="shared" si="3"/>
        <v>2.5287227064005253</v>
      </c>
      <c r="H34" s="111">
        <f>AVERAGE(G34:G39)</f>
        <v>2.7720613500765321</v>
      </c>
      <c r="I34" s="111">
        <f>STDEV(G34:G39)/SQRT(6)</f>
        <v>0.22846264565106492</v>
      </c>
    </row>
    <row r="35" spans="1:9">
      <c r="A35" s="109">
        <v>20</v>
      </c>
      <c r="B35" s="103">
        <v>0.505</v>
      </c>
      <c r="C35" s="103">
        <v>0.57199999999999995</v>
      </c>
      <c r="D35" s="102">
        <f t="shared" si="0"/>
        <v>0.53849999999999998</v>
      </c>
      <c r="E35" s="102">
        <f t="shared" si="1"/>
        <v>0.49299999999999999</v>
      </c>
      <c r="F35" s="102">
        <f t="shared" si="2"/>
        <v>0.51550932433698815</v>
      </c>
      <c r="G35" s="110">
        <f t="shared" si="3"/>
        <v>2.0620372973479526</v>
      </c>
      <c r="H35" s="111"/>
      <c r="I35" s="111"/>
    </row>
    <row r="36" spans="1:9">
      <c r="A36" s="109">
        <v>21</v>
      </c>
      <c r="B36" s="106">
        <v>0.88700000000000001</v>
      </c>
      <c r="C36" s="106">
        <v>0.80400000000000005</v>
      </c>
      <c r="D36" s="102">
        <f t="shared" si="0"/>
        <v>0.84550000000000003</v>
      </c>
      <c r="E36" s="102">
        <f t="shared" si="1"/>
        <v>0.8</v>
      </c>
      <c r="F36" s="102">
        <f t="shared" si="2"/>
        <v>0.80320494798987929</v>
      </c>
      <c r="G36" s="110">
        <f t="shared" si="3"/>
        <v>3.2128197919595172</v>
      </c>
      <c r="H36" s="111"/>
      <c r="I36" s="111"/>
    </row>
    <row r="37" spans="1:9">
      <c r="A37" s="109">
        <v>22</v>
      </c>
      <c r="B37" s="104">
        <v>0.65800000000000003</v>
      </c>
      <c r="C37" s="105">
        <v>0.54900000000000004</v>
      </c>
      <c r="D37" s="102">
        <f t="shared" si="0"/>
        <v>0.60350000000000004</v>
      </c>
      <c r="E37" s="102">
        <f t="shared" si="1"/>
        <v>0.55800000000000005</v>
      </c>
      <c r="F37" s="102">
        <f t="shared" si="2"/>
        <v>0.57642207853059702</v>
      </c>
      <c r="G37" s="110">
        <f t="shared" si="3"/>
        <v>2.3056883141223881</v>
      </c>
      <c r="H37" s="111"/>
      <c r="I37" s="111"/>
    </row>
    <row r="38" spans="1:9">
      <c r="A38" s="109">
        <v>23</v>
      </c>
      <c r="B38" s="104">
        <v>0.95799999999999996</v>
      </c>
      <c r="C38" s="104">
        <v>0.88500000000000001</v>
      </c>
      <c r="D38" s="102">
        <f t="shared" si="0"/>
        <v>0.92149999999999999</v>
      </c>
      <c r="E38" s="102">
        <f t="shared" si="1"/>
        <v>0.876</v>
      </c>
      <c r="F38" s="102">
        <f t="shared" si="2"/>
        <v>0.87442601443163726</v>
      </c>
      <c r="G38" s="110">
        <f t="shared" si="3"/>
        <v>3.497704057726549</v>
      </c>
      <c r="H38" s="111"/>
      <c r="I38" s="111"/>
    </row>
    <row r="39" spans="1:9">
      <c r="A39" s="109">
        <v>24</v>
      </c>
      <c r="B39" s="104">
        <v>0.82299999999999995</v>
      </c>
      <c r="C39" s="104">
        <v>0.76800000000000002</v>
      </c>
      <c r="D39" s="102">
        <f t="shared" si="0"/>
        <v>0.79549999999999998</v>
      </c>
      <c r="E39" s="102">
        <f t="shared" si="1"/>
        <v>0.75</v>
      </c>
      <c r="F39" s="102">
        <f t="shared" si="2"/>
        <v>0.75634898322556465</v>
      </c>
      <c r="G39" s="110">
        <f t="shared" si="3"/>
        <v>3.0253959329022586</v>
      </c>
      <c r="H39" s="111"/>
      <c r="I39" s="111"/>
    </row>
  </sheetData>
  <mergeCells count="17">
    <mergeCell ref="B33:C33"/>
    <mergeCell ref="H34:H39"/>
    <mergeCell ref="I34:I39"/>
    <mergeCell ref="B17:C17"/>
    <mergeCell ref="H18:H23"/>
    <mergeCell ref="I18:I23"/>
    <mergeCell ref="B25:C25"/>
    <mergeCell ref="H26:H31"/>
    <mergeCell ref="I26:I31"/>
    <mergeCell ref="A1:C1"/>
    <mergeCell ref="H1:I2"/>
    <mergeCell ref="J8:K8"/>
    <mergeCell ref="B9:C9"/>
    <mergeCell ref="H10:H15"/>
    <mergeCell ref="I10:I15"/>
    <mergeCell ref="J10:J15"/>
    <mergeCell ref="K10:K15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1"/>
  <sheetViews>
    <sheetView zoomScale="90" zoomScaleNormal="90" workbookViewId="0">
      <selection activeCell="E42" sqref="E42"/>
    </sheetView>
  </sheetViews>
  <sheetFormatPr baseColWidth="10" defaultRowHeight="12.75"/>
  <cols>
    <col min="1" max="5" width="11.42578125" style="50"/>
    <col min="6" max="6" width="13" style="50" customWidth="1"/>
    <col min="7" max="261" width="11.42578125" style="50"/>
    <col min="262" max="262" width="13" style="50" customWidth="1"/>
    <col min="263" max="517" width="11.42578125" style="50"/>
    <col min="518" max="518" width="13" style="50" customWidth="1"/>
    <col min="519" max="773" width="11.42578125" style="50"/>
    <col min="774" max="774" width="13" style="50" customWidth="1"/>
    <col min="775" max="1029" width="11.42578125" style="50"/>
    <col min="1030" max="1030" width="13" style="50" customWidth="1"/>
    <col min="1031" max="1285" width="11.42578125" style="50"/>
    <col min="1286" max="1286" width="13" style="50" customWidth="1"/>
    <col min="1287" max="1541" width="11.42578125" style="50"/>
    <col min="1542" max="1542" width="13" style="50" customWidth="1"/>
    <col min="1543" max="1797" width="11.42578125" style="50"/>
    <col min="1798" max="1798" width="13" style="50" customWidth="1"/>
    <col min="1799" max="2053" width="11.42578125" style="50"/>
    <col min="2054" max="2054" width="13" style="50" customWidth="1"/>
    <col min="2055" max="2309" width="11.42578125" style="50"/>
    <col min="2310" max="2310" width="13" style="50" customWidth="1"/>
    <col min="2311" max="2565" width="11.42578125" style="50"/>
    <col min="2566" max="2566" width="13" style="50" customWidth="1"/>
    <col min="2567" max="2821" width="11.42578125" style="50"/>
    <col min="2822" max="2822" width="13" style="50" customWidth="1"/>
    <col min="2823" max="3077" width="11.42578125" style="50"/>
    <col min="3078" max="3078" width="13" style="50" customWidth="1"/>
    <col min="3079" max="3333" width="11.42578125" style="50"/>
    <col min="3334" max="3334" width="13" style="50" customWidth="1"/>
    <col min="3335" max="3589" width="11.42578125" style="50"/>
    <col min="3590" max="3590" width="13" style="50" customWidth="1"/>
    <col min="3591" max="3845" width="11.42578125" style="50"/>
    <col min="3846" max="3846" width="13" style="50" customWidth="1"/>
    <col min="3847" max="4101" width="11.42578125" style="50"/>
    <col min="4102" max="4102" width="13" style="50" customWidth="1"/>
    <col min="4103" max="4357" width="11.42578125" style="50"/>
    <col min="4358" max="4358" width="13" style="50" customWidth="1"/>
    <col min="4359" max="4613" width="11.42578125" style="50"/>
    <col min="4614" max="4614" width="13" style="50" customWidth="1"/>
    <col min="4615" max="4869" width="11.42578125" style="50"/>
    <col min="4870" max="4870" width="13" style="50" customWidth="1"/>
    <col min="4871" max="5125" width="11.42578125" style="50"/>
    <col min="5126" max="5126" width="13" style="50" customWidth="1"/>
    <col min="5127" max="5381" width="11.42578125" style="50"/>
    <col min="5382" max="5382" width="13" style="50" customWidth="1"/>
    <col min="5383" max="5637" width="11.42578125" style="50"/>
    <col min="5638" max="5638" width="13" style="50" customWidth="1"/>
    <col min="5639" max="5893" width="11.42578125" style="50"/>
    <col min="5894" max="5894" width="13" style="50" customWidth="1"/>
    <col min="5895" max="6149" width="11.42578125" style="50"/>
    <col min="6150" max="6150" width="13" style="50" customWidth="1"/>
    <col min="6151" max="6405" width="11.42578125" style="50"/>
    <col min="6406" max="6406" width="13" style="50" customWidth="1"/>
    <col min="6407" max="6661" width="11.42578125" style="50"/>
    <col min="6662" max="6662" width="13" style="50" customWidth="1"/>
    <col min="6663" max="6917" width="11.42578125" style="50"/>
    <col min="6918" max="6918" width="13" style="50" customWidth="1"/>
    <col min="6919" max="7173" width="11.42578125" style="50"/>
    <col min="7174" max="7174" width="13" style="50" customWidth="1"/>
    <col min="7175" max="7429" width="11.42578125" style="50"/>
    <col min="7430" max="7430" width="13" style="50" customWidth="1"/>
    <col min="7431" max="7685" width="11.42578125" style="50"/>
    <col min="7686" max="7686" width="13" style="50" customWidth="1"/>
    <col min="7687" max="7941" width="11.42578125" style="50"/>
    <col min="7942" max="7942" width="13" style="50" customWidth="1"/>
    <col min="7943" max="8197" width="11.42578125" style="50"/>
    <col min="8198" max="8198" width="13" style="50" customWidth="1"/>
    <col min="8199" max="8453" width="11.42578125" style="50"/>
    <col min="8454" max="8454" width="13" style="50" customWidth="1"/>
    <col min="8455" max="8709" width="11.42578125" style="50"/>
    <col min="8710" max="8710" width="13" style="50" customWidth="1"/>
    <col min="8711" max="8965" width="11.42578125" style="50"/>
    <col min="8966" max="8966" width="13" style="50" customWidth="1"/>
    <col min="8967" max="9221" width="11.42578125" style="50"/>
    <col min="9222" max="9222" width="13" style="50" customWidth="1"/>
    <col min="9223" max="9477" width="11.42578125" style="50"/>
    <col min="9478" max="9478" width="13" style="50" customWidth="1"/>
    <col min="9479" max="9733" width="11.42578125" style="50"/>
    <col min="9734" max="9734" width="13" style="50" customWidth="1"/>
    <col min="9735" max="9989" width="11.42578125" style="50"/>
    <col min="9990" max="9990" width="13" style="50" customWidth="1"/>
    <col min="9991" max="10245" width="11.42578125" style="50"/>
    <col min="10246" max="10246" width="13" style="50" customWidth="1"/>
    <col min="10247" max="10501" width="11.42578125" style="50"/>
    <col min="10502" max="10502" width="13" style="50" customWidth="1"/>
    <col min="10503" max="10757" width="11.42578125" style="50"/>
    <col min="10758" max="10758" width="13" style="50" customWidth="1"/>
    <col min="10759" max="11013" width="11.42578125" style="50"/>
    <col min="11014" max="11014" width="13" style="50" customWidth="1"/>
    <col min="11015" max="11269" width="11.42578125" style="50"/>
    <col min="11270" max="11270" width="13" style="50" customWidth="1"/>
    <col min="11271" max="11525" width="11.42578125" style="50"/>
    <col min="11526" max="11526" width="13" style="50" customWidth="1"/>
    <col min="11527" max="11781" width="11.42578125" style="50"/>
    <col min="11782" max="11782" width="13" style="50" customWidth="1"/>
    <col min="11783" max="12037" width="11.42578125" style="50"/>
    <col min="12038" max="12038" width="13" style="50" customWidth="1"/>
    <col min="12039" max="12293" width="11.42578125" style="50"/>
    <col min="12294" max="12294" width="13" style="50" customWidth="1"/>
    <col min="12295" max="12549" width="11.42578125" style="50"/>
    <col min="12550" max="12550" width="13" style="50" customWidth="1"/>
    <col min="12551" max="12805" width="11.42578125" style="50"/>
    <col min="12806" max="12806" width="13" style="50" customWidth="1"/>
    <col min="12807" max="13061" width="11.42578125" style="50"/>
    <col min="13062" max="13062" width="13" style="50" customWidth="1"/>
    <col min="13063" max="13317" width="11.42578125" style="50"/>
    <col min="13318" max="13318" width="13" style="50" customWidth="1"/>
    <col min="13319" max="13573" width="11.42578125" style="50"/>
    <col min="13574" max="13574" width="13" style="50" customWidth="1"/>
    <col min="13575" max="13829" width="11.42578125" style="50"/>
    <col min="13830" max="13830" width="13" style="50" customWidth="1"/>
    <col min="13831" max="14085" width="11.42578125" style="50"/>
    <col min="14086" max="14086" width="13" style="50" customWidth="1"/>
    <col min="14087" max="14341" width="11.42578125" style="50"/>
    <col min="14342" max="14342" width="13" style="50" customWidth="1"/>
    <col min="14343" max="14597" width="11.42578125" style="50"/>
    <col min="14598" max="14598" width="13" style="50" customWidth="1"/>
    <col min="14599" max="14853" width="11.42578125" style="50"/>
    <col min="14854" max="14854" width="13" style="50" customWidth="1"/>
    <col min="14855" max="15109" width="11.42578125" style="50"/>
    <col min="15110" max="15110" width="13" style="50" customWidth="1"/>
    <col min="15111" max="15365" width="11.42578125" style="50"/>
    <col min="15366" max="15366" width="13" style="50" customWidth="1"/>
    <col min="15367" max="15621" width="11.42578125" style="50"/>
    <col min="15622" max="15622" width="13" style="50" customWidth="1"/>
    <col min="15623" max="15877" width="11.42578125" style="50"/>
    <col min="15878" max="15878" width="13" style="50" customWidth="1"/>
    <col min="15879" max="16133" width="11.42578125" style="50"/>
    <col min="16134" max="16134" width="13" style="50" customWidth="1"/>
    <col min="16135" max="16384" width="11.42578125" style="50"/>
  </cols>
  <sheetData>
    <row r="1" spans="1:11">
      <c r="A1" s="98" t="s">
        <v>0</v>
      </c>
      <c r="B1" s="98"/>
      <c r="C1" s="98"/>
      <c r="D1" s="58" t="s">
        <v>11</v>
      </c>
      <c r="E1" s="58" t="s">
        <v>55</v>
      </c>
    </row>
    <row r="2" spans="1:11">
      <c r="A2" s="58" t="s">
        <v>31</v>
      </c>
    </row>
    <row r="3" spans="1:11">
      <c r="A3" s="58">
        <v>0</v>
      </c>
      <c r="B3" s="101">
        <v>8.8999999999999996E-2</v>
      </c>
      <c r="C3" s="101">
        <v>6.2E-2</v>
      </c>
      <c r="D3" s="102">
        <f>AVERAGE(B3:C3)</f>
        <v>7.5499999999999998E-2</v>
      </c>
      <c r="E3" s="102">
        <f>D3-$D$3</f>
        <v>0</v>
      </c>
    </row>
    <row r="4" spans="1:11">
      <c r="A4" s="58">
        <v>0.1404</v>
      </c>
      <c r="B4" s="103">
        <v>0.183</v>
      </c>
      <c r="C4" s="103">
        <v>0.185</v>
      </c>
      <c r="D4" s="102">
        <f t="shared" ref="D4:D39" si="0">AVERAGE(B4:C4)</f>
        <v>0.184</v>
      </c>
      <c r="E4" s="102">
        <f>D4-$D$3</f>
        <v>0.1085</v>
      </c>
    </row>
    <row r="5" spans="1:11">
      <c r="A5" s="58">
        <v>0.28100000000000003</v>
      </c>
      <c r="B5" s="103">
        <v>0.24199999999999999</v>
      </c>
      <c r="C5" s="103">
        <v>0.23699999999999999</v>
      </c>
      <c r="D5" s="102">
        <f t="shared" si="0"/>
        <v>0.23949999999999999</v>
      </c>
      <c r="E5" s="102">
        <f>D5-$D$3</f>
        <v>0.16399999999999998</v>
      </c>
    </row>
    <row r="6" spans="1:11">
      <c r="A6" s="58">
        <v>0.5615</v>
      </c>
      <c r="B6" s="103">
        <v>0.40600000000000003</v>
      </c>
      <c r="C6" s="103">
        <v>0.40200000000000002</v>
      </c>
      <c r="D6" s="102">
        <f t="shared" si="0"/>
        <v>0.40400000000000003</v>
      </c>
      <c r="E6" s="102">
        <f>D6-$D$3</f>
        <v>0.32850000000000001</v>
      </c>
    </row>
    <row r="7" spans="1:11">
      <c r="A7" s="58">
        <v>1.123</v>
      </c>
      <c r="B7" s="106">
        <v>0.67100000000000004</v>
      </c>
      <c r="C7" s="106">
        <v>0.66</v>
      </c>
      <c r="D7" s="102">
        <f t="shared" si="0"/>
        <v>0.66549999999999998</v>
      </c>
      <c r="E7" s="102">
        <f>D7-$D$3</f>
        <v>0.59</v>
      </c>
    </row>
    <row r="8" spans="1:11">
      <c r="D8" s="102"/>
      <c r="E8" s="102"/>
      <c r="J8" s="113" t="s">
        <v>8</v>
      </c>
      <c r="K8" s="113"/>
    </row>
    <row r="9" spans="1:11">
      <c r="B9" s="98" t="s">
        <v>61</v>
      </c>
      <c r="C9" s="98"/>
      <c r="D9" s="102"/>
      <c r="E9" s="102"/>
      <c r="F9" s="58" t="s">
        <v>57</v>
      </c>
      <c r="G9" s="58" t="s">
        <v>58</v>
      </c>
      <c r="H9" s="58" t="s">
        <v>62</v>
      </c>
      <c r="I9" s="58" t="s">
        <v>59</v>
      </c>
      <c r="J9" s="114" t="s">
        <v>11</v>
      </c>
      <c r="K9" s="114" t="s">
        <v>59</v>
      </c>
    </row>
    <row r="10" spans="1:11">
      <c r="A10" s="109">
        <v>1</v>
      </c>
      <c r="B10" s="106">
        <v>0.78300000000000003</v>
      </c>
      <c r="C10" s="106">
        <v>0.78300000000000003</v>
      </c>
      <c r="D10" s="102">
        <f t="shared" si="0"/>
        <v>0.78300000000000003</v>
      </c>
      <c r="E10" s="102">
        <f t="shared" ref="E10:E15" si="1">D10-$D$3</f>
        <v>0.70750000000000002</v>
      </c>
      <c r="F10" s="102">
        <f t="shared" ref="F10:F15" si="2">(E10-0.0208)/0.5161</f>
        <v>1.3305560937802752</v>
      </c>
      <c r="G10" s="110">
        <f t="shared" ref="G10:G15" si="3">F10*4</f>
        <v>5.3222243751211007</v>
      </c>
      <c r="H10" s="111">
        <f>AVERAGE(G10:G15)</f>
        <v>5.2318026222308331</v>
      </c>
      <c r="I10" s="111">
        <f>STDEV(G10:G15)/SQRT(6)</f>
        <v>0.5580050754367214</v>
      </c>
      <c r="J10" s="111">
        <f>AVERAGE(G10:G15)</f>
        <v>5.2318026222308331</v>
      </c>
      <c r="K10" s="111">
        <f>STDEV(G10:G15)/SQRT(6)</f>
        <v>0.5580050754367214</v>
      </c>
    </row>
    <row r="11" spans="1:11">
      <c r="A11" s="109">
        <v>2</v>
      </c>
      <c r="B11" s="106">
        <v>0.90500000000000003</v>
      </c>
      <c r="C11" s="106">
        <v>0.90500000000000003</v>
      </c>
      <c r="D11" s="102">
        <f t="shared" si="0"/>
        <v>0.90500000000000003</v>
      </c>
      <c r="E11" s="102">
        <f t="shared" si="1"/>
        <v>0.82950000000000002</v>
      </c>
      <c r="F11" s="102">
        <f t="shared" si="2"/>
        <v>1.5669443906219724</v>
      </c>
      <c r="G11" s="110">
        <f t="shared" si="3"/>
        <v>6.2677775624878898</v>
      </c>
      <c r="H11" s="111"/>
      <c r="I11" s="111"/>
      <c r="J11" s="111"/>
      <c r="K11" s="111"/>
    </row>
    <row r="12" spans="1:11">
      <c r="A12" s="109">
        <v>3</v>
      </c>
      <c r="B12" s="106">
        <v>0.54500000000000004</v>
      </c>
      <c r="C12" s="106">
        <v>0.54500000000000004</v>
      </c>
      <c r="D12" s="102">
        <f t="shared" si="0"/>
        <v>0.54500000000000004</v>
      </c>
      <c r="E12" s="102">
        <f t="shared" si="1"/>
        <v>0.46950000000000003</v>
      </c>
      <c r="F12" s="102">
        <f t="shared" si="2"/>
        <v>0.86940515403991481</v>
      </c>
      <c r="G12" s="110">
        <f t="shared" si="3"/>
        <v>3.4776206161596592</v>
      </c>
      <c r="H12" s="111"/>
      <c r="I12" s="111"/>
      <c r="J12" s="111"/>
      <c r="K12" s="111"/>
    </row>
    <row r="13" spans="1:11">
      <c r="A13" s="109">
        <v>4</v>
      </c>
      <c r="B13" s="106">
        <v>0.72</v>
      </c>
      <c r="C13" s="106">
        <v>0.72</v>
      </c>
      <c r="D13" s="102">
        <f t="shared" si="0"/>
        <v>0.72</v>
      </c>
      <c r="E13" s="102">
        <f t="shared" si="1"/>
        <v>0.64449999999999996</v>
      </c>
      <c r="F13" s="102">
        <f t="shared" si="2"/>
        <v>1.2084867273784148</v>
      </c>
      <c r="G13" s="110">
        <f t="shared" si="3"/>
        <v>4.8339469095136591</v>
      </c>
      <c r="H13" s="111"/>
      <c r="I13" s="111"/>
      <c r="J13" s="111"/>
      <c r="K13" s="111"/>
    </row>
    <row r="14" spans="1:11">
      <c r="A14" s="109">
        <v>5</v>
      </c>
      <c r="B14" s="106">
        <v>1.0309999999999999</v>
      </c>
      <c r="C14" s="106">
        <v>1.0309999999999999</v>
      </c>
      <c r="D14" s="102">
        <f t="shared" si="0"/>
        <v>1.0309999999999999</v>
      </c>
      <c r="E14" s="102">
        <f t="shared" si="1"/>
        <v>0.9554999999999999</v>
      </c>
      <c r="F14" s="102">
        <f t="shared" si="2"/>
        <v>1.8110831234256923</v>
      </c>
      <c r="G14" s="110">
        <f t="shared" si="3"/>
        <v>7.2443324937027693</v>
      </c>
      <c r="H14" s="111"/>
      <c r="I14" s="111"/>
      <c r="J14" s="111"/>
      <c r="K14" s="111"/>
    </row>
    <row r="15" spans="1:11">
      <c r="A15" s="109">
        <v>6</v>
      </c>
      <c r="B15" s="106">
        <v>0.64400000000000002</v>
      </c>
      <c r="C15" s="106">
        <v>0.64400000000000002</v>
      </c>
      <c r="D15" s="102">
        <f t="shared" si="0"/>
        <v>0.64400000000000002</v>
      </c>
      <c r="E15" s="102">
        <f t="shared" si="1"/>
        <v>0.56850000000000001</v>
      </c>
      <c r="F15" s="102">
        <f t="shared" si="2"/>
        <v>1.0612284440999806</v>
      </c>
      <c r="G15" s="110">
        <f t="shared" si="3"/>
        <v>4.2449137763999225</v>
      </c>
      <c r="H15" s="111"/>
      <c r="I15" s="111"/>
      <c r="J15" s="111"/>
      <c r="K15" s="111"/>
    </row>
    <row r="16" spans="1:11">
      <c r="D16" s="102"/>
      <c r="E16" s="102"/>
      <c r="F16" s="102"/>
      <c r="G16" s="110"/>
      <c r="I16" s="102"/>
    </row>
    <row r="17" spans="1:11">
      <c r="B17" s="98" t="s">
        <v>63</v>
      </c>
      <c r="C17" s="98"/>
      <c r="D17" s="102"/>
      <c r="E17" s="102"/>
      <c r="F17" s="102"/>
      <c r="G17" s="110"/>
      <c r="I17" s="102"/>
    </row>
    <row r="18" spans="1:11">
      <c r="A18" s="109">
        <v>7</v>
      </c>
      <c r="B18" s="106">
        <v>0.629</v>
      </c>
      <c r="C18" s="106">
        <v>0.629</v>
      </c>
      <c r="D18" s="102">
        <f t="shared" si="0"/>
        <v>0.629</v>
      </c>
      <c r="E18" s="102">
        <f t="shared" ref="E18:E23" si="4">D18-$D$3</f>
        <v>0.55349999999999999</v>
      </c>
      <c r="F18" s="102">
        <f t="shared" ref="F18:F23" si="5">(E18-0.0208)/0.5161</f>
        <v>1.0321643092423949</v>
      </c>
      <c r="G18" s="110">
        <f t="shared" ref="G18:G23" si="6">F18*4</f>
        <v>4.1286572369695795</v>
      </c>
      <c r="H18" s="111">
        <f>AVERAGE(G18:G23)</f>
        <v>3.63392107472712</v>
      </c>
      <c r="I18" s="111">
        <f>STDEV(G18:G23)/SQRT(6)</f>
        <v>0.30939947883619096</v>
      </c>
      <c r="J18" s="111">
        <f>AVERAGE(G18:G21,G23)</f>
        <v>3.3675644254989345</v>
      </c>
      <c r="K18" s="111">
        <f>STDEV(G18:G21,G23)/SQRT(5)</f>
        <v>0.19280368091419059</v>
      </c>
    </row>
    <row r="19" spans="1:11">
      <c r="A19" s="109">
        <v>8</v>
      </c>
      <c r="B19" s="106">
        <v>0.50900000000000001</v>
      </c>
      <c r="C19" s="106">
        <v>0.50900000000000001</v>
      </c>
      <c r="D19" s="102">
        <f t="shared" si="0"/>
        <v>0.50900000000000001</v>
      </c>
      <c r="E19" s="102">
        <f t="shared" si="4"/>
        <v>0.4335</v>
      </c>
      <c r="F19" s="102">
        <f t="shared" si="5"/>
        <v>0.79965123038170893</v>
      </c>
      <c r="G19" s="110">
        <f t="shared" si="6"/>
        <v>3.1986049215268357</v>
      </c>
      <c r="H19" s="111"/>
      <c r="I19" s="111"/>
      <c r="J19" s="111"/>
      <c r="K19" s="111"/>
    </row>
    <row r="20" spans="1:11">
      <c r="A20" s="109">
        <v>9</v>
      </c>
      <c r="B20" s="106">
        <v>0.505</v>
      </c>
      <c r="C20" s="106">
        <v>0.505</v>
      </c>
      <c r="D20" s="102">
        <f t="shared" si="0"/>
        <v>0.505</v>
      </c>
      <c r="E20" s="102">
        <f t="shared" si="4"/>
        <v>0.42949999999999999</v>
      </c>
      <c r="F20" s="102">
        <f t="shared" si="5"/>
        <v>0.79190079441968608</v>
      </c>
      <c r="G20" s="110">
        <f t="shared" si="6"/>
        <v>3.1676031776787443</v>
      </c>
      <c r="H20" s="111"/>
      <c r="I20" s="111"/>
      <c r="J20" s="111"/>
      <c r="K20" s="111"/>
    </row>
    <row r="21" spans="1:11">
      <c r="A21" s="109">
        <v>10</v>
      </c>
      <c r="B21" s="106">
        <v>0.51800000000000002</v>
      </c>
      <c r="C21" s="106">
        <v>0.51800000000000002</v>
      </c>
      <c r="D21" s="102">
        <f t="shared" si="0"/>
        <v>0.51800000000000002</v>
      </c>
      <c r="E21" s="102">
        <f t="shared" si="4"/>
        <v>0.4425</v>
      </c>
      <c r="F21" s="102">
        <f t="shared" si="5"/>
        <v>0.8170897112962604</v>
      </c>
      <c r="G21" s="110">
        <f t="shared" si="6"/>
        <v>3.2683588451850416</v>
      </c>
      <c r="H21" s="111"/>
      <c r="I21" s="111"/>
      <c r="J21" s="111"/>
      <c r="K21" s="111"/>
    </row>
    <row r="22" spans="1:11">
      <c r="A22" s="109">
        <v>11</v>
      </c>
      <c r="B22" s="106">
        <v>0.73699999999999999</v>
      </c>
      <c r="C22" s="106">
        <v>0.73699999999999999</v>
      </c>
      <c r="D22" s="102">
        <f t="shared" si="0"/>
        <v>0.73699999999999999</v>
      </c>
      <c r="E22" s="102">
        <f t="shared" si="4"/>
        <v>0.66149999999999998</v>
      </c>
      <c r="F22" s="102">
        <f t="shared" si="5"/>
        <v>1.2414260802170121</v>
      </c>
      <c r="G22" s="115">
        <f t="shared" si="6"/>
        <v>4.9657043208680482</v>
      </c>
      <c r="H22" s="111"/>
      <c r="I22" s="111"/>
      <c r="J22" s="111"/>
      <c r="K22" s="111"/>
    </row>
    <row r="23" spans="1:11">
      <c r="A23" s="109">
        <v>12</v>
      </c>
      <c r="B23" s="106">
        <v>0.49299999999999999</v>
      </c>
      <c r="C23" s="106">
        <v>0.49299999999999999</v>
      </c>
      <c r="D23" s="102">
        <f t="shared" si="0"/>
        <v>0.49299999999999999</v>
      </c>
      <c r="E23" s="102">
        <f t="shared" si="4"/>
        <v>0.41749999999999998</v>
      </c>
      <c r="F23" s="102">
        <f t="shared" si="5"/>
        <v>0.76864948653361753</v>
      </c>
      <c r="G23" s="110">
        <f t="shared" si="6"/>
        <v>3.0745979461344701</v>
      </c>
      <c r="H23" s="111"/>
      <c r="I23" s="111"/>
      <c r="J23" s="111"/>
      <c r="K23" s="111"/>
    </row>
    <row r="24" spans="1:11">
      <c r="D24" s="102"/>
      <c r="E24" s="102"/>
      <c r="F24" s="102"/>
      <c r="G24" s="110"/>
    </row>
    <row r="25" spans="1:11">
      <c r="B25" s="98" t="s">
        <v>19</v>
      </c>
      <c r="C25" s="98"/>
      <c r="D25" s="102"/>
      <c r="E25" s="102"/>
      <c r="F25" s="102"/>
      <c r="G25" s="110"/>
    </row>
    <row r="26" spans="1:11">
      <c r="A26" s="116">
        <v>1</v>
      </c>
      <c r="B26" s="106">
        <v>0.50700000000000001</v>
      </c>
      <c r="C26" s="106">
        <v>0.50700000000000001</v>
      </c>
      <c r="D26" s="102">
        <f t="shared" si="0"/>
        <v>0.50700000000000001</v>
      </c>
      <c r="E26" s="102">
        <f t="shared" ref="E26:E31" si="7">D26-$D$3</f>
        <v>0.43149999999999999</v>
      </c>
      <c r="F26" s="102">
        <f t="shared" ref="F26:F31" si="8">(E26-0.0208)/0.5161</f>
        <v>0.79577601240069751</v>
      </c>
      <c r="G26" s="110">
        <f t="shared" ref="G26:G31" si="9">F26*4</f>
        <v>3.18310404960279</v>
      </c>
      <c r="H26" s="111">
        <f>AVERAGE(G26:G31)</f>
        <v>4.0873215785054571</v>
      </c>
      <c r="I26" s="111">
        <f>STDEV(G26:G31)/SQRT(6)</f>
        <v>0.39163184608748802</v>
      </c>
      <c r="J26" s="111">
        <f>AVERAGE(G28:G29,G31,G26)</f>
        <v>4.0666537492733967</v>
      </c>
      <c r="K26" s="111">
        <f>STDEV(G28:G29,G31,G26)/SQRT(4)</f>
        <v>0.31693187004859907</v>
      </c>
    </row>
    <row r="27" spans="1:11">
      <c r="A27" s="116">
        <v>2</v>
      </c>
      <c r="B27" s="106">
        <v>0.79700000000000004</v>
      </c>
      <c r="C27" s="106">
        <v>0.79700000000000004</v>
      </c>
      <c r="D27" s="102">
        <f t="shared" si="0"/>
        <v>0.79700000000000004</v>
      </c>
      <c r="E27" s="102">
        <f t="shared" si="7"/>
        <v>0.72150000000000003</v>
      </c>
      <c r="F27" s="102">
        <f t="shared" si="8"/>
        <v>1.357682619647355</v>
      </c>
      <c r="G27" s="115">
        <f t="shared" si="9"/>
        <v>5.4307304785894202</v>
      </c>
      <c r="H27" s="111"/>
      <c r="I27" s="111"/>
      <c r="J27" s="111"/>
      <c r="K27" s="111"/>
    </row>
    <row r="28" spans="1:11">
      <c r="A28" s="116">
        <v>3</v>
      </c>
      <c r="B28" s="106">
        <v>0.69899999999999995</v>
      </c>
      <c r="C28" s="106">
        <v>0.69899999999999995</v>
      </c>
      <c r="D28" s="102">
        <f t="shared" si="0"/>
        <v>0.69899999999999995</v>
      </c>
      <c r="E28" s="102">
        <f t="shared" si="7"/>
        <v>0.62349999999999994</v>
      </c>
      <c r="F28" s="102">
        <f t="shared" si="8"/>
        <v>1.1677969385777949</v>
      </c>
      <c r="G28" s="110">
        <f t="shared" si="9"/>
        <v>4.6711877543111795</v>
      </c>
      <c r="H28" s="111"/>
      <c r="I28" s="111"/>
      <c r="J28" s="111"/>
      <c r="K28" s="111"/>
    </row>
    <row r="29" spans="1:11">
      <c r="A29" s="116">
        <v>4</v>
      </c>
      <c r="B29" s="106">
        <v>0.626</v>
      </c>
      <c r="C29" s="106">
        <v>0.626</v>
      </c>
      <c r="D29" s="102">
        <f t="shared" si="0"/>
        <v>0.626</v>
      </c>
      <c r="E29" s="102">
        <f t="shared" si="7"/>
        <v>0.55049999999999999</v>
      </c>
      <c r="F29" s="102">
        <f t="shared" si="8"/>
        <v>1.0263514822708777</v>
      </c>
      <c r="G29" s="110">
        <f t="shared" si="9"/>
        <v>4.1054059290835108</v>
      </c>
      <c r="H29" s="111"/>
      <c r="I29" s="111"/>
      <c r="J29" s="111"/>
      <c r="K29" s="111"/>
    </row>
    <row r="30" spans="1:11">
      <c r="A30" s="116">
        <v>5</v>
      </c>
      <c r="B30" s="103">
        <v>0.46100000000000002</v>
      </c>
      <c r="C30" s="103">
        <v>0.46100000000000002</v>
      </c>
      <c r="D30" s="102">
        <f t="shared" si="0"/>
        <v>0.46100000000000002</v>
      </c>
      <c r="E30" s="102">
        <f t="shared" si="7"/>
        <v>0.38550000000000001</v>
      </c>
      <c r="F30" s="102">
        <f t="shared" si="8"/>
        <v>0.70664599883743462</v>
      </c>
      <c r="G30" s="115">
        <f t="shared" si="9"/>
        <v>2.8265839953497385</v>
      </c>
      <c r="H30" s="111"/>
      <c r="I30" s="111"/>
      <c r="J30" s="111"/>
      <c r="K30" s="111"/>
    </row>
    <row r="31" spans="1:11">
      <c r="A31" s="116">
        <v>6</v>
      </c>
      <c r="B31" s="106">
        <v>0.65200000000000002</v>
      </c>
      <c r="C31" s="106">
        <v>0.65200000000000002</v>
      </c>
      <c r="D31" s="102">
        <f t="shared" si="0"/>
        <v>0.65200000000000002</v>
      </c>
      <c r="E31" s="102">
        <f t="shared" si="7"/>
        <v>0.57650000000000001</v>
      </c>
      <c r="F31" s="102">
        <f t="shared" si="8"/>
        <v>1.0767293160240263</v>
      </c>
      <c r="G31" s="110">
        <f t="shared" si="9"/>
        <v>4.3069172640961053</v>
      </c>
      <c r="H31" s="111"/>
      <c r="I31" s="111"/>
      <c r="J31" s="111"/>
      <c r="K31" s="111"/>
    </row>
    <row r="32" spans="1:11">
      <c r="A32" s="117"/>
      <c r="D32" s="102"/>
      <c r="E32" s="102"/>
      <c r="F32" s="102"/>
      <c r="G32" s="110"/>
    </row>
    <row r="33" spans="1:11">
      <c r="A33" s="117"/>
      <c r="B33" s="98" t="s">
        <v>64</v>
      </c>
      <c r="C33" s="98"/>
      <c r="D33" s="102"/>
      <c r="E33" s="102"/>
      <c r="F33" s="102"/>
      <c r="G33" s="110"/>
    </row>
    <row r="34" spans="1:11">
      <c r="A34" s="116">
        <v>7</v>
      </c>
      <c r="B34" s="103">
        <v>0.45400000000000001</v>
      </c>
      <c r="C34" s="103">
        <v>0.45400000000000001</v>
      </c>
      <c r="D34" s="102">
        <f t="shared" si="0"/>
        <v>0.45400000000000001</v>
      </c>
      <c r="E34" s="102">
        <f t="shared" ref="E34:E39" si="10">D34-$D$3</f>
        <v>0.3785</v>
      </c>
      <c r="F34" s="102">
        <f t="shared" ref="F34:F39" si="11">(E34-0.0208)/0.5161</f>
        <v>0.69308273590389458</v>
      </c>
      <c r="G34" s="115">
        <f t="shared" ref="G34:G39" si="12">F34*4</f>
        <v>2.7723309436155783</v>
      </c>
      <c r="H34" s="111">
        <f>AVERAGE(G34:G39)</f>
        <v>3.3213201575921985</v>
      </c>
      <c r="I34" s="111">
        <f>STDEV(G34:G39)/SQRT(6)</f>
        <v>0.20006953101084482</v>
      </c>
      <c r="J34" s="111">
        <f>AVERAGE(G37,G39,G35)</f>
        <v>3.5034554026997355</v>
      </c>
      <c r="K34" s="111">
        <f>STDEV(G37,G39,G35)/SQRT(3)</f>
        <v>0.16314826226283657</v>
      </c>
    </row>
    <row r="35" spans="1:11">
      <c r="A35" s="116">
        <v>8</v>
      </c>
      <c r="B35" s="106">
        <v>0.55500000000000005</v>
      </c>
      <c r="C35" s="106">
        <v>0.55500000000000005</v>
      </c>
      <c r="D35" s="102">
        <f t="shared" si="0"/>
        <v>0.55500000000000005</v>
      </c>
      <c r="E35" s="102">
        <f t="shared" si="10"/>
        <v>0.47950000000000004</v>
      </c>
      <c r="F35" s="102">
        <f t="shared" si="11"/>
        <v>0.88878124394497204</v>
      </c>
      <c r="G35" s="110">
        <f t="shared" si="12"/>
        <v>3.5551249757798882</v>
      </c>
      <c r="H35" s="111"/>
      <c r="I35" s="111"/>
      <c r="J35" s="111"/>
      <c r="K35" s="111"/>
    </row>
    <row r="36" spans="1:11">
      <c r="A36" s="116">
        <v>9</v>
      </c>
      <c r="B36" s="106">
        <v>0.59799999999999998</v>
      </c>
      <c r="C36" s="106">
        <v>0.59799999999999998</v>
      </c>
      <c r="D36" s="102">
        <f t="shared" si="0"/>
        <v>0.59799999999999998</v>
      </c>
      <c r="E36" s="102">
        <f t="shared" si="10"/>
        <v>0.52249999999999996</v>
      </c>
      <c r="F36" s="102">
        <f t="shared" si="11"/>
        <v>0.97209843053671752</v>
      </c>
      <c r="G36" s="115">
        <f t="shared" si="12"/>
        <v>3.8883937221468701</v>
      </c>
      <c r="H36" s="111"/>
      <c r="I36" s="111"/>
      <c r="J36" s="111"/>
      <c r="K36" s="111"/>
    </row>
    <row r="37" spans="1:11">
      <c r="A37" s="116">
        <v>10</v>
      </c>
      <c r="B37" s="106">
        <v>0.50900000000000001</v>
      </c>
      <c r="C37" s="106">
        <v>0.50900000000000001</v>
      </c>
      <c r="D37" s="102">
        <f t="shared" si="0"/>
        <v>0.50900000000000001</v>
      </c>
      <c r="E37" s="102">
        <f t="shared" si="10"/>
        <v>0.4335</v>
      </c>
      <c r="F37" s="102">
        <f t="shared" si="11"/>
        <v>0.79965123038170893</v>
      </c>
      <c r="G37" s="110">
        <f t="shared" si="12"/>
        <v>3.1986049215268357</v>
      </c>
      <c r="H37" s="111"/>
      <c r="I37" s="111"/>
      <c r="J37" s="111"/>
      <c r="K37" s="111"/>
    </row>
    <row r="38" spans="1:11">
      <c r="A38" s="116">
        <v>11</v>
      </c>
      <c r="B38" s="103">
        <v>0.45200000000000001</v>
      </c>
      <c r="C38" s="103">
        <v>0.45200000000000001</v>
      </c>
      <c r="D38" s="102">
        <f t="shared" si="0"/>
        <v>0.45200000000000001</v>
      </c>
      <c r="E38" s="102">
        <f t="shared" si="10"/>
        <v>0.3765</v>
      </c>
      <c r="F38" s="102">
        <f t="shared" si="11"/>
        <v>0.68920751792288315</v>
      </c>
      <c r="G38" s="115">
        <f t="shared" si="12"/>
        <v>2.7568300716915326</v>
      </c>
      <c r="H38" s="111"/>
      <c r="I38" s="111"/>
      <c r="J38" s="111"/>
      <c r="K38" s="111"/>
    </row>
    <row r="39" spans="1:11">
      <c r="A39" s="116">
        <v>12</v>
      </c>
      <c r="B39" s="106">
        <v>0.58099999999999996</v>
      </c>
      <c r="C39" s="106">
        <v>0.58099999999999996</v>
      </c>
      <c r="D39" s="102">
        <f t="shared" si="0"/>
        <v>0.58099999999999996</v>
      </c>
      <c r="E39" s="102">
        <f t="shared" si="10"/>
        <v>0.50549999999999995</v>
      </c>
      <c r="F39" s="102">
        <f t="shared" si="11"/>
        <v>0.93915907769812046</v>
      </c>
      <c r="G39" s="110">
        <f t="shared" si="12"/>
        <v>3.7566363107924818</v>
      </c>
      <c r="H39" s="111"/>
      <c r="I39" s="111"/>
      <c r="J39" s="111"/>
      <c r="K39" s="111"/>
    </row>
    <row r="40" spans="1:11">
      <c r="A40" s="109"/>
      <c r="E40" s="102"/>
      <c r="F40" s="102"/>
      <c r="G40" s="110"/>
    </row>
    <row r="41" spans="1:11">
      <c r="A41" s="98"/>
      <c r="B41" s="98"/>
      <c r="C41" s="98"/>
      <c r="D41" s="118"/>
      <c r="E41" s="102"/>
      <c r="F41" s="102"/>
      <c r="G41" s="110"/>
    </row>
  </sheetData>
  <mergeCells count="23">
    <mergeCell ref="A41:C41"/>
    <mergeCell ref="H26:H31"/>
    <mergeCell ref="I26:I31"/>
    <mergeCell ref="J26:J31"/>
    <mergeCell ref="K26:K31"/>
    <mergeCell ref="B33:C33"/>
    <mergeCell ref="H34:H39"/>
    <mergeCell ref="I34:I39"/>
    <mergeCell ref="J34:J39"/>
    <mergeCell ref="K34:K39"/>
    <mergeCell ref="B17:C17"/>
    <mergeCell ref="H18:H23"/>
    <mergeCell ref="I18:I23"/>
    <mergeCell ref="J18:J23"/>
    <mergeCell ref="K18:K23"/>
    <mergeCell ref="B25:C25"/>
    <mergeCell ref="A1:C1"/>
    <mergeCell ref="J8:K8"/>
    <mergeCell ref="B9:C9"/>
    <mergeCell ref="H10:H15"/>
    <mergeCell ref="I10:I15"/>
    <mergeCell ref="J10:J15"/>
    <mergeCell ref="K10:K1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4:M45"/>
  <sheetViews>
    <sheetView topLeftCell="A7" zoomScale="85" zoomScaleNormal="85" workbookViewId="0">
      <selection activeCell="I13" sqref="I13:J45"/>
    </sheetView>
  </sheetViews>
  <sheetFormatPr baseColWidth="10" defaultRowHeight="12.75"/>
  <cols>
    <col min="1" max="16384" width="11.42578125" style="50"/>
  </cols>
  <sheetData>
    <row r="4" spans="1:10" ht="30" customHeight="1">
      <c r="A4" s="119" t="s">
        <v>31</v>
      </c>
      <c r="B4" s="120" t="s">
        <v>0</v>
      </c>
      <c r="C4" s="120"/>
    </row>
    <row r="5" spans="1:10" ht="28.5" customHeight="1">
      <c r="B5" s="121">
        <v>1</v>
      </c>
      <c r="C5" s="121">
        <v>2</v>
      </c>
      <c r="D5" s="122" t="s">
        <v>11</v>
      </c>
      <c r="E5" s="123" t="s">
        <v>65</v>
      </c>
    </row>
    <row r="6" spans="1:10">
      <c r="A6" s="119">
        <v>0</v>
      </c>
      <c r="B6" s="124">
        <v>0.11799999999999999</v>
      </c>
      <c r="C6" s="124">
        <v>0.11799999999999999</v>
      </c>
      <c r="D6" s="125">
        <f>AVERAGE(B6:C6)</f>
        <v>0.11799999999999999</v>
      </c>
      <c r="E6" s="125">
        <f>D6-D6</f>
        <v>0</v>
      </c>
    </row>
    <row r="7" spans="1:10">
      <c r="A7" s="119">
        <v>0.65</v>
      </c>
      <c r="B7" s="126">
        <v>0.16</v>
      </c>
      <c r="C7" s="126">
        <v>0.159</v>
      </c>
      <c r="D7" s="125">
        <f t="shared" ref="D7:D10" si="0">AVERAGE(B7:C7)</f>
        <v>0.1595</v>
      </c>
      <c r="E7" s="125">
        <f>D7-D6</f>
        <v>4.1500000000000009E-2</v>
      </c>
    </row>
    <row r="8" spans="1:10">
      <c r="A8" s="119">
        <v>1.29</v>
      </c>
      <c r="B8" s="127">
        <v>0.21</v>
      </c>
      <c r="C8" s="127">
        <v>0.214</v>
      </c>
      <c r="D8" s="125">
        <f t="shared" si="0"/>
        <v>0.21199999999999999</v>
      </c>
      <c r="E8" s="125">
        <f>D8-D6</f>
        <v>9.4E-2</v>
      </c>
    </row>
    <row r="9" spans="1:10">
      <c r="A9" s="119">
        <v>2.59</v>
      </c>
      <c r="B9" s="128">
        <v>0.34499999999999997</v>
      </c>
      <c r="C9" s="128">
        <v>0.33600000000000002</v>
      </c>
      <c r="D9" s="125">
        <f t="shared" si="0"/>
        <v>0.34050000000000002</v>
      </c>
      <c r="E9" s="125">
        <f>D9-D6</f>
        <v>0.22250000000000003</v>
      </c>
    </row>
    <row r="10" spans="1:10">
      <c r="A10" s="119">
        <v>5.18</v>
      </c>
      <c r="B10" s="129">
        <v>0.56799999999999995</v>
      </c>
      <c r="C10" s="129">
        <v>0.55400000000000005</v>
      </c>
      <c r="D10" s="125">
        <f t="shared" si="0"/>
        <v>0.56099999999999994</v>
      </c>
      <c r="E10" s="125">
        <f>D10-D6</f>
        <v>0.44299999999999995</v>
      </c>
    </row>
    <row r="11" spans="1:10">
      <c r="B11" s="130" t="s">
        <v>66</v>
      </c>
      <c r="C11" s="130"/>
      <c r="D11" s="125"/>
      <c r="E11" s="125"/>
      <c r="G11" s="131" t="s">
        <v>67</v>
      </c>
      <c r="H11" s="131"/>
      <c r="I11" s="132" t="s">
        <v>68</v>
      </c>
      <c r="J11" s="133"/>
    </row>
    <row r="12" spans="1:10">
      <c r="B12" s="121">
        <v>3</v>
      </c>
      <c r="C12" s="121">
        <v>4</v>
      </c>
      <c r="D12" s="125"/>
      <c r="E12" s="125"/>
      <c r="F12" s="134" t="s">
        <v>67</v>
      </c>
      <c r="G12" s="134" t="s">
        <v>11</v>
      </c>
      <c r="H12" s="134" t="s">
        <v>12</v>
      </c>
      <c r="I12" s="134" t="s">
        <v>11</v>
      </c>
      <c r="J12" s="134" t="s">
        <v>12</v>
      </c>
    </row>
    <row r="13" spans="1:10">
      <c r="A13" s="135">
        <v>1</v>
      </c>
      <c r="B13" s="136">
        <v>0.32200000000000001</v>
      </c>
      <c r="C13" s="136">
        <v>0.30599999999999999</v>
      </c>
      <c r="D13" s="125">
        <f t="shared" ref="D13:D18" si="1">AVERAGE(B13:C13)</f>
        <v>0.314</v>
      </c>
      <c r="E13" s="125">
        <f>D13-(D6)</f>
        <v>0.19600000000000001</v>
      </c>
      <c r="F13" s="125">
        <f>(E13+0.0093)/0.0873</f>
        <v>2.3516609392898054</v>
      </c>
      <c r="G13" s="111">
        <f>AVERAGE(F13:F18)</f>
        <v>2.4318442153493698</v>
      </c>
      <c r="H13" s="111">
        <f>STDEV(F13:F18)/SQRT(6)</f>
        <v>0.1590245490103171</v>
      </c>
      <c r="I13" s="137">
        <f>AVERAGE(F13:F15,F17:F18)</f>
        <v>2.5738831615120277</v>
      </c>
      <c r="J13" s="137">
        <f>STDEV(F13:F15,F17:F18)/SQRT(5)</f>
        <v>8.7582061184949309E-2</v>
      </c>
    </row>
    <row r="14" spans="1:10">
      <c r="A14" s="135">
        <v>2</v>
      </c>
      <c r="B14" s="136">
        <v>0.313</v>
      </c>
      <c r="C14" s="128">
        <v>0.32900000000000001</v>
      </c>
      <c r="D14" s="125">
        <f t="shared" si="1"/>
        <v>0.32100000000000001</v>
      </c>
      <c r="E14" s="125">
        <f>D14-($D$6)</f>
        <v>0.20300000000000001</v>
      </c>
      <c r="F14" s="125">
        <f t="shared" ref="F14:F18" si="2">(E14+0.0093)/0.0873</f>
        <v>2.4318442153493702</v>
      </c>
      <c r="G14" s="138"/>
      <c r="H14" s="111"/>
      <c r="I14" s="131"/>
      <c r="J14" s="137"/>
    </row>
    <row r="15" spans="1:10">
      <c r="A15" s="135">
        <v>3</v>
      </c>
      <c r="B15" s="128">
        <v>0.33100000000000002</v>
      </c>
      <c r="C15" s="128">
        <v>0.33900000000000002</v>
      </c>
      <c r="D15" s="125">
        <f t="shared" si="1"/>
        <v>0.33500000000000002</v>
      </c>
      <c r="E15" s="125">
        <f t="shared" ref="E15:E18" si="3">D15-($D$6)</f>
        <v>0.21700000000000003</v>
      </c>
      <c r="F15" s="125">
        <f t="shared" si="2"/>
        <v>2.5922107674684995</v>
      </c>
      <c r="G15" s="138"/>
      <c r="H15" s="111"/>
      <c r="I15" s="131"/>
      <c r="J15" s="137"/>
    </row>
    <row r="16" spans="1:10">
      <c r="A16" s="135">
        <v>4</v>
      </c>
      <c r="B16" s="139">
        <v>0.28599999999999998</v>
      </c>
      <c r="C16" s="127">
        <v>0.23200000000000001</v>
      </c>
      <c r="D16" s="125">
        <f t="shared" si="1"/>
        <v>0.25900000000000001</v>
      </c>
      <c r="E16" s="125">
        <f t="shared" si="3"/>
        <v>0.14100000000000001</v>
      </c>
      <c r="F16" s="140">
        <f t="shared" si="2"/>
        <v>1.7216494845360826</v>
      </c>
      <c r="G16" s="138"/>
      <c r="H16" s="111"/>
      <c r="I16" s="131"/>
      <c r="J16" s="137"/>
    </row>
    <row r="17" spans="1:13">
      <c r="A17" s="135">
        <v>5</v>
      </c>
      <c r="B17" s="136">
        <v>0.317</v>
      </c>
      <c r="C17" s="128">
        <v>0.36099999999999999</v>
      </c>
      <c r="D17" s="125">
        <f t="shared" si="1"/>
        <v>0.33899999999999997</v>
      </c>
      <c r="E17" s="125">
        <f>D17-($D$6)</f>
        <v>0.22099999999999997</v>
      </c>
      <c r="F17" s="125">
        <f t="shared" si="2"/>
        <v>2.6380297823596788</v>
      </c>
      <c r="G17" s="138"/>
      <c r="H17" s="111"/>
      <c r="I17" s="131"/>
      <c r="J17" s="137"/>
    </row>
    <row r="18" spans="1:13">
      <c r="A18" s="135">
        <v>6</v>
      </c>
      <c r="B18" s="128">
        <v>0.33</v>
      </c>
      <c r="C18" s="141">
        <v>0.38600000000000001</v>
      </c>
      <c r="D18" s="125">
        <f t="shared" si="1"/>
        <v>0.35799999999999998</v>
      </c>
      <c r="E18" s="125">
        <f t="shared" si="3"/>
        <v>0.24</v>
      </c>
      <c r="F18" s="125">
        <f t="shared" si="2"/>
        <v>2.8556701030927831</v>
      </c>
      <c r="G18" s="138"/>
      <c r="H18" s="111"/>
      <c r="I18" s="131"/>
      <c r="J18" s="137"/>
    </row>
    <row r="19" spans="1:13">
      <c r="B19" s="130" t="s">
        <v>69</v>
      </c>
      <c r="C19" s="130"/>
      <c r="D19" s="125"/>
      <c r="E19" s="125"/>
      <c r="F19" s="125"/>
    </row>
    <row r="20" spans="1:13">
      <c r="B20" s="121">
        <v>5</v>
      </c>
      <c r="C20" s="121">
        <v>6</v>
      </c>
      <c r="D20" s="125"/>
      <c r="E20" s="125"/>
      <c r="F20" s="125"/>
    </row>
    <row r="21" spans="1:13">
      <c r="A21" s="135">
        <v>7</v>
      </c>
      <c r="B21" s="128">
        <v>0.35</v>
      </c>
      <c r="C21" s="141">
        <v>0.375</v>
      </c>
      <c r="D21" s="125">
        <f t="shared" ref="D21:D26" si="4">AVERAGE(B21:C21)</f>
        <v>0.36249999999999999</v>
      </c>
      <c r="E21" s="125">
        <f t="shared" ref="E21:E26" si="5">D21-($D$6)</f>
        <v>0.2445</v>
      </c>
      <c r="F21" s="125">
        <f>(E21+0.0093)/0.0873</f>
        <v>2.9072164948453603</v>
      </c>
      <c r="G21" s="111">
        <f>AVERAGE(F21:F28)</f>
        <v>2.5652524186091439</v>
      </c>
      <c r="H21" s="111">
        <f>STDEV(F21:F28)/SQRT(8)</f>
        <v>0.17557376085805626</v>
      </c>
      <c r="I21" s="111">
        <f>AVERAGE(F21:F28)</f>
        <v>2.5652524186091439</v>
      </c>
      <c r="J21" s="111">
        <f>STDEV(F21:F28)/SQRT(8)</f>
        <v>0.17557376085805626</v>
      </c>
    </row>
    <row r="22" spans="1:13">
      <c r="A22" s="135">
        <v>8</v>
      </c>
      <c r="B22" s="142">
        <v>0.41599999999999998</v>
      </c>
      <c r="C22" s="141">
        <v>0.39100000000000001</v>
      </c>
      <c r="D22" s="125">
        <f t="shared" si="4"/>
        <v>0.40349999999999997</v>
      </c>
      <c r="E22" s="125">
        <f t="shared" si="5"/>
        <v>0.28549999999999998</v>
      </c>
      <c r="F22" s="125">
        <f t="shared" ref="F22:F26" si="6">(E22+0.0093)/0.0873</f>
        <v>3.3768613974799537</v>
      </c>
      <c r="G22" s="111"/>
      <c r="H22" s="111"/>
      <c r="I22" s="111"/>
      <c r="J22" s="111"/>
    </row>
    <row r="23" spans="1:13">
      <c r="A23" s="135">
        <v>9</v>
      </c>
      <c r="B23" s="136">
        <v>0.29499999999999998</v>
      </c>
      <c r="C23" s="136">
        <v>0.29299999999999998</v>
      </c>
      <c r="D23" s="125">
        <f t="shared" si="4"/>
        <v>0.29399999999999998</v>
      </c>
      <c r="E23" s="125">
        <f t="shared" si="5"/>
        <v>0.17599999999999999</v>
      </c>
      <c r="F23" s="125">
        <f t="shared" si="6"/>
        <v>2.1225658648339061</v>
      </c>
      <c r="G23" s="111"/>
      <c r="H23" s="111"/>
      <c r="I23" s="111"/>
      <c r="J23" s="111"/>
    </row>
    <row r="24" spans="1:13">
      <c r="A24" s="135">
        <v>10</v>
      </c>
      <c r="B24" s="128">
        <v>0.33500000000000002</v>
      </c>
      <c r="C24" s="136">
        <v>0.31900000000000001</v>
      </c>
      <c r="D24" s="125">
        <f t="shared" si="4"/>
        <v>0.32700000000000001</v>
      </c>
      <c r="E24" s="125">
        <f t="shared" si="5"/>
        <v>0.20900000000000002</v>
      </c>
      <c r="F24" s="125">
        <f t="shared" si="6"/>
        <v>2.5005727376861397</v>
      </c>
      <c r="G24" s="111"/>
      <c r="H24" s="111"/>
      <c r="I24" s="111"/>
      <c r="J24" s="111"/>
    </row>
    <row r="25" spans="1:13">
      <c r="A25" s="135">
        <v>11</v>
      </c>
      <c r="B25" s="136">
        <v>0.28899999999999998</v>
      </c>
      <c r="C25" s="136">
        <v>0.29199999999999998</v>
      </c>
      <c r="D25" s="125">
        <f t="shared" si="4"/>
        <v>0.29049999999999998</v>
      </c>
      <c r="E25" s="125">
        <f t="shared" si="5"/>
        <v>0.17249999999999999</v>
      </c>
      <c r="F25" s="125">
        <f t="shared" si="6"/>
        <v>2.0824742268041234</v>
      </c>
      <c r="G25" s="111"/>
      <c r="H25" s="111"/>
      <c r="I25" s="111"/>
      <c r="J25" s="111"/>
    </row>
    <row r="26" spans="1:13">
      <c r="A26" s="135">
        <v>12</v>
      </c>
      <c r="B26" s="128">
        <v>0.34499999999999997</v>
      </c>
      <c r="C26" s="141">
        <v>0.40500000000000003</v>
      </c>
      <c r="D26" s="125">
        <f t="shared" si="4"/>
        <v>0.375</v>
      </c>
      <c r="E26" s="125">
        <f t="shared" si="5"/>
        <v>0.25700000000000001</v>
      </c>
      <c r="F26" s="125">
        <f t="shared" si="6"/>
        <v>3.0504009163802976</v>
      </c>
      <c r="G26" s="111"/>
      <c r="H26" s="111"/>
      <c r="I26" s="111"/>
      <c r="J26" s="111"/>
    </row>
    <row r="27" spans="1:13">
      <c r="A27" s="135">
        <v>13</v>
      </c>
      <c r="B27" s="143"/>
      <c r="C27" s="143"/>
      <c r="D27" s="144"/>
      <c r="E27" s="144"/>
      <c r="F27" s="145">
        <v>2.4302925989672981</v>
      </c>
      <c r="G27" s="111"/>
      <c r="H27" s="111"/>
      <c r="I27" s="111"/>
      <c r="J27" s="111"/>
    </row>
    <row r="28" spans="1:13">
      <c r="A28" s="135">
        <v>14</v>
      </c>
      <c r="B28" s="143"/>
      <c r="C28" s="143"/>
      <c r="D28" s="144"/>
      <c r="E28" s="144"/>
      <c r="F28" s="145">
        <v>2.0516351118760756</v>
      </c>
      <c r="G28" s="111"/>
      <c r="H28" s="111"/>
      <c r="I28" s="111"/>
      <c r="J28" s="111"/>
    </row>
    <row r="29" spans="1:13">
      <c r="B29" s="130" t="s">
        <v>70</v>
      </c>
      <c r="C29" s="130"/>
      <c r="D29" s="125"/>
      <c r="E29" s="125"/>
      <c r="F29" s="125"/>
    </row>
    <row r="30" spans="1:13">
      <c r="B30" s="121">
        <v>7</v>
      </c>
      <c r="C30" s="121">
        <v>8</v>
      </c>
      <c r="D30" s="125"/>
      <c r="E30" s="125"/>
      <c r="F30" s="125"/>
      <c r="M30" s="102"/>
    </row>
    <row r="31" spans="1:13">
      <c r="A31" s="135">
        <v>13</v>
      </c>
      <c r="B31" s="136">
        <v>0.311</v>
      </c>
      <c r="C31" s="136">
        <v>0.315</v>
      </c>
      <c r="D31" s="125">
        <f t="shared" ref="D31:D36" si="7">AVERAGE(B31:C31)</f>
        <v>0.313</v>
      </c>
      <c r="E31" s="125">
        <f t="shared" ref="E31:E36" si="8">D31-($D$6)</f>
        <v>0.19500000000000001</v>
      </c>
      <c r="F31" s="125">
        <f t="shared" ref="F31:F36" si="9">(E31+0.0093)/0.0873</f>
        <v>2.3402061855670104</v>
      </c>
      <c r="G31" s="111">
        <f>AVERAGE(F31:F36)</f>
        <v>2.6867124856815576</v>
      </c>
      <c r="H31" s="111">
        <f>STDEV(F31:F36)/SQRT(6)</f>
        <v>0.12420839364821586</v>
      </c>
      <c r="I31" s="137">
        <f>AVERAGE(F31:F36)</f>
        <v>2.6867124856815576</v>
      </c>
      <c r="J31" s="137">
        <f>STDEV(F31:F36)/SQRT(6)</f>
        <v>0.12420839364821586</v>
      </c>
    </row>
    <row r="32" spans="1:13">
      <c r="A32" s="135">
        <v>14</v>
      </c>
      <c r="B32" s="146">
        <v>0.35399999999999998</v>
      </c>
      <c r="C32" s="147">
        <v>0.29199999999999998</v>
      </c>
      <c r="D32" s="125">
        <f t="shared" si="7"/>
        <v>0.32299999999999995</v>
      </c>
      <c r="E32" s="125">
        <f t="shared" si="8"/>
        <v>0.20499999999999996</v>
      </c>
      <c r="F32" s="125">
        <f t="shared" si="9"/>
        <v>2.4547537227949596</v>
      </c>
      <c r="G32" s="138"/>
      <c r="H32" s="111"/>
      <c r="I32" s="131"/>
      <c r="J32" s="137"/>
    </row>
    <row r="33" spans="1:10">
      <c r="A33" s="135">
        <v>15</v>
      </c>
      <c r="B33" s="128">
        <v>0.32900000000000001</v>
      </c>
      <c r="C33" s="128">
        <v>0.36</v>
      </c>
      <c r="D33" s="125">
        <f t="shared" si="7"/>
        <v>0.34450000000000003</v>
      </c>
      <c r="E33" s="125">
        <f t="shared" si="8"/>
        <v>0.22650000000000003</v>
      </c>
      <c r="F33" s="125">
        <f t="shared" si="9"/>
        <v>2.7010309278350517</v>
      </c>
      <c r="G33" s="138"/>
      <c r="H33" s="111"/>
      <c r="I33" s="131"/>
      <c r="J33" s="137"/>
    </row>
    <row r="34" spans="1:10">
      <c r="A34" s="135">
        <v>16</v>
      </c>
      <c r="B34" s="136">
        <v>0.32500000000000001</v>
      </c>
      <c r="C34" s="128">
        <v>0.33500000000000002</v>
      </c>
      <c r="D34" s="125">
        <f t="shared" si="7"/>
        <v>0.33</v>
      </c>
      <c r="E34" s="125">
        <f t="shared" si="8"/>
        <v>0.21200000000000002</v>
      </c>
      <c r="F34" s="125">
        <f t="shared" si="9"/>
        <v>2.5349369988545249</v>
      </c>
      <c r="G34" s="138"/>
      <c r="H34" s="111"/>
      <c r="I34" s="131"/>
      <c r="J34" s="137"/>
    </row>
    <row r="35" spans="1:10">
      <c r="A35" s="135">
        <v>17</v>
      </c>
      <c r="B35" s="128">
        <v>0.35899999999999999</v>
      </c>
      <c r="C35" s="141">
        <v>0.378</v>
      </c>
      <c r="D35" s="125">
        <f t="shared" si="7"/>
        <v>0.36849999999999999</v>
      </c>
      <c r="E35" s="125">
        <f t="shared" si="8"/>
        <v>0.2505</v>
      </c>
      <c r="F35" s="125">
        <f t="shared" si="9"/>
        <v>2.9759450171821302</v>
      </c>
      <c r="G35" s="138"/>
      <c r="H35" s="111"/>
      <c r="I35" s="131"/>
      <c r="J35" s="137"/>
    </row>
    <row r="36" spans="1:10">
      <c r="A36" s="135">
        <v>18</v>
      </c>
      <c r="B36" s="128">
        <v>0.36699999999999999</v>
      </c>
      <c r="C36" s="141">
        <v>0.39400000000000002</v>
      </c>
      <c r="D36" s="125">
        <f t="shared" si="7"/>
        <v>0.3805</v>
      </c>
      <c r="E36" s="125">
        <f t="shared" si="8"/>
        <v>0.26250000000000001</v>
      </c>
      <c r="F36" s="125">
        <f t="shared" si="9"/>
        <v>3.1134020618556697</v>
      </c>
      <c r="G36" s="138"/>
      <c r="H36" s="111"/>
      <c r="I36" s="131"/>
      <c r="J36" s="137"/>
    </row>
    <row r="37" spans="1:10">
      <c r="B37" s="130" t="s">
        <v>71</v>
      </c>
      <c r="C37" s="130"/>
      <c r="D37" s="125"/>
      <c r="E37" s="125"/>
      <c r="F37" s="125"/>
    </row>
    <row r="38" spans="1:10">
      <c r="B38" s="121">
        <v>9</v>
      </c>
      <c r="C38" s="121">
        <v>10</v>
      </c>
      <c r="D38" s="125"/>
      <c r="E38" s="125"/>
      <c r="F38" s="125"/>
    </row>
    <row r="39" spans="1:10">
      <c r="A39" s="135">
        <v>19</v>
      </c>
      <c r="B39" s="136">
        <v>0.28799999999999998</v>
      </c>
      <c r="C39" s="136">
        <v>0.32200000000000001</v>
      </c>
      <c r="D39" s="125">
        <f t="shared" ref="D39:D44" si="10">AVERAGE(B39:C39)</f>
        <v>0.30499999999999999</v>
      </c>
      <c r="E39" s="125">
        <f t="shared" ref="E39:E44" si="11">D39-($D$6)</f>
        <v>0.187</v>
      </c>
      <c r="F39" s="125">
        <f t="shared" ref="F39:F44" si="12">(E39+0.0093)/0.0873</f>
        <v>2.2485681557846506</v>
      </c>
      <c r="G39" s="111">
        <f>AVERAGE(F39:F45)</f>
        <v>2.3796015818657188</v>
      </c>
      <c r="H39" s="111">
        <f>STDEV(F39:F45)/SQRT(7)</f>
        <v>0.11728174187641462</v>
      </c>
      <c r="I39" s="111">
        <f>AVERAGE(F39:F45)</f>
        <v>2.3796015818657188</v>
      </c>
      <c r="J39" s="111">
        <f>STDEV(F39:F45)/SQRT(7)</f>
        <v>0.11728174187641462</v>
      </c>
    </row>
    <row r="40" spans="1:10">
      <c r="A40" s="135">
        <v>20</v>
      </c>
      <c r="B40" s="128">
        <v>0.34399999999999997</v>
      </c>
      <c r="C40" s="128">
        <v>0.33700000000000002</v>
      </c>
      <c r="D40" s="125">
        <f t="shared" si="10"/>
        <v>0.34050000000000002</v>
      </c>
      <c r="E40" s="125">
        <f t="shared" si="11"/>
        <v>0.22250000000000003</v>
      </c>
      <c r="F40" s="125">
        <f t="shared" si="12"/>
        <v>2.655211912943872</v>
      </c>
      <c r="G40" s="111"/>
      <c r="H40" s="111"/>
      <c r="I40" s="111"/>
      <c r="J40" s="111"/>
    </row>
    <row r="41" spans="1:10">
      <c r="A41" s="135">
        <v>21</v>
      </c>
      <c r="B41" s="148">
        <v>0.27900000000000003</v>
      </c>
      <c r="C41" s="147">
        <v>0.32400000000000001</v>
      </c>
      <c r="D41" s="125">
        <f t="shared" si="10"/>
        <v>0.30149999999999999</v>
      </c>
      <c r="E41" s="125">
        <f t="shared" si="11"/>
        <v>0.1835</v>
      </c>
      <c r="F41" s="125">
        <f t="shared" si="12"/>
        <v>2.208476517754868</v>
      </c>
      <c r="G41" s="111"/>
      <c r="H41" s="111"/>
      <c r="I41" s="111"/>
      <c r="J41" s="111"/>
    </row>
    <row r="42" spans="1:10">
      <c r="A42" s="135">
        <v>22</v>
      </c>
      <c r="B42" s="139">
        <v>0.27200000000000002</v>
      </c>
      <c r="C42" s="139">
        <v>0.28699999999999998</v>
      </c>
      <c r="D42" s="125">
        <f t="shared" si="10"/>
        <v>0.27949999999999997</v>
      </c>
      <c r="E42" s="125">
        <f t="shared" si="11"/>
        <v>0.16149999999999998</v>
      </c>
      <c r="F42" s="149">
        <f t="shared" si="12"/>
        <v>1.9564719358533789</v>
      </c>
      <c r="G42" s="111"/>
      <c r="H42" s="111"/>
      <c r="I42" s="111"/>
      <c r="J42" s="111"/>
    </row>
    <row r="43" spans="1:10">
      <c r="A43" s="135">
        <v>23</v>
      </c>
      <c r="B43" s="128">
        <v>0.35099999999999998</v>
      </c>
      <c r="C43" s="128">
        <v>0.32900000000000001</v>
      </c>
      <c r="D43" s="125">
        <f t="shared" si="10"/>
        <v>0.33999999999999997</v>
      </c>
      <c r="E43" s="125">
        <f t="shared" si="11"/>
        <v>0.22199999999999998</v>
      </c>
      <c r="F43" s="125">
        <f t="shared" si="12"/>
        <v>2.6494845360824737</v>
      </c>
      <c r="G43" s="111"/>
      <c r="H43" s="111"/>
      <c r="I43" s="111"/>
      <c r="J43" s="111"/>
    </row>
    <row r="44" spans="1:10">
      <c r="A44" s="135">
        <v>24</v>
      </c>
      <c r="B44" s="150">
        <v>0.31</v>
      </c>
      <c r="C44" s="151">
        <v>0.39200000000000002</v>
      </c>
      <c r="D44" s="125">
        <f t="shared" si="10"/>
        <v>0.35099999999999998</v>
      </c>
      <c r="E44" s="125">
        <f t="shared" si="11"/>
        <v>0.23299999999999998</v>
      </c>
      <c r="F44" s="125">
        <f t="shared" si="12"/>
        <v>2.7754868270332187</v>
      </c>
      <c r="G44" s="111"/>
      <c r="H44" s="111"/>
      <c r="I44" s="111"/>
      <c r="J44" s="111"/>
    </row>
    <row r="45" spans="1:10">
      <c r="A45" s="135">
        <v>25</v>
      </c>
      <c r="F45" s="145">
        <v>2.1635111876075732</v>
      </c>
      <c r="G45" s="111"/>
      <c r="H45" s="111"/>
      <c r="I45" s="111"/>
      <c r="J45" s="111"/>
    </row>
  </sheetData>
  <mergeCells count="23">
    <mergeCell ref="G31:G36"/>
    <mergeCell ref="H31:H36"/>
    <mergeCell ref="I31:I36"/>
    <mergeCell ref="J31:J36"/>
    <mergeCell ref="B37:C37"/>
    <mergeCell ref="G39:G45"/>
    <mergeCell ref="H39:H45"/>
    <mergeCell ref="I39:I45"/>
    <mergeCell ref="J39:J45"/>
    <mergeCell ref="B19:C19"/>
    <mergeCell ref="G21:G28"/>
    <mergeCell ref="H21:H28"/>
    <mergeCell ref="I21:I28"/>
    <mergeCell ref="J21:J28"/>
    <mergeCell ref="B29:C29"/>
    <mergeCell ref="B4:C4"/>
    <mergeCell ref="B11:C11"/>
    <mergeCell ref="G11:H11"/>
    <mergeCell ref="I11:J11"/>
    <mergeCell ref="G13:G18"/>
    <mergeCell ref="H13:H18"/>
    <mergeCell ref="I13:I18"/>
    <mergeCell ref="J13:J18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5:L44"/>
  <sheetViews>
    <sheetView topLeftCell="A7" zoomScale="70" zoomScaleNormal="70" workbookViewId="0">
      <selection activeCell="J59" sqref="J59"/>
    </sheetView>
  </sheetViews>
  <sheetFormatPr baseColWidth="10" defaultRowHeight="12.75"/>
  <cols>
    <col min="1" max="9" width="11.42578125" style="50"/>
    <col min="10" max="10" width="13.42578125" style="50" bestFit="1" customWidth="1"/>
    <col min="11" max="16384" width="11.42578125" style="50"/>
  </cols>
  <sheetData>
    <row r="5" spans="1:11">
      <c r="C5" s="121">
        <v>1</v>
      </c>
      <c r="D5" s="121">
        <v>2</v>
      </c>
      <c r="E5" s="152" t="s">
        <v>72</v>
      </c>
      <c r="F5" s="152" t="s">
        <v>73</v>
      </c>
      <c r="G5" s="125"/>
      <c r="H5" s="125"/>
      <c r="I5" s="125"/>
      <c r="J5" s="125"/>
      <c r="K5" s="119"/>
    </row>
    <row r="6" spans="1:11">
      <c r="B6" s="119">
        <v>0</v>
      </c>
      <c r="C6" s="124">
        <v>0.112</v>
      </c>
      <c r="D6" s="126">
        <v>0.123</v>
      </c>
      <c r="E6" s="125">
        <f>AVERAGE(C6:D6)</f>
        <v>0.11749999999999999</v>
      </c>
      <c r="F6" s="125">
        <f>E6-$E$6</f>
        <v>0</v>
      </c>
      <c r="G6" s="125"/>
      <c r="H6" s="125"/>
      <c r="I6" s="125"/>
      <c r="J6" s="125"/>
      <c r="K6" s="119"/>
    </row>
    <row r="7" spans="1:11">
      <c r="B7" s="119">
        <v>0.65</v>
      </c>
      <c r="C7" s="126">
        <v>0.14199999999999999</v>
      </c>
      <c r="D7" s="153">
        <v>0.16800000000000001</v>
      </c>
      <c r="E7" s="125">
        <f t="shared" ref="E7:E10" si="0">AVERAGE(C7:D7)</f>
        <v>0.155</v>
      </c>
      <c r="F7" s="125">
        <f t="shared" ref="F7:F10" si="1">E7-$E$6</f>
        <v>3.7500000000000006E-2</v>
      </c>
      <c r="G7" s="125"/>
      <c r="H7" s="125"/>
      <c r="I7" s="125"/>
      <c r="J7" s="125"/>
      <c r="K7" s="119"/>
    </row>
    <row r="8" spans="1:11">
      <c r="B8" s="119">
        <v>1.29</v>
      </c>
      <c r="C8" s="127">
        <v>0.21199999999999999</v>
      </c>
      <c r="D8" s="127">
        <v>0.214</v>
      </c>
      <c r="E8" s="125">
        <f t="shared" si="0"/>
        <v>0.21299999999999999</v>
      </c>
      <c r="F8" s="125">
        <f t="shared" si="1"/>
        <v>9.5500000000000002E-2</v>
      </c>
      <c r="G8" s="125"/>
      <c r="H8" s="125"/>
      <c r="I8" s="125"/>
      <c r="J8" s="125"/>
      <c r="K8" s="119"/>
    </row>
    <row r="9" spans="1:11">
      <c r="B9" s="119">
        <v>2.59</v>
      </c>
      <c r="C9" s="136">
        <v>0.309</v>
      </c>
      <c r="D9" s="128">
        <v>0.32900000000000001</v>
      </c>
      <c r="E9" s="125">
        <f t="shared" si="0"/>
        <v>0.31900000000000001</v>
      </c>
      <c r="F9" s="125">
        <f t="shared" si="1"/>
        <v>0.20150000000000001</v>
      </c>
      <c r="G9" s="125"/>
      <c r="H9" s="125"/>
      <c r="I9" s="125"/>
      <c r="J9" s="125"/>
      <c r="K9" s="119"/>
    </row>
    <row r="10" spans="1:11">
      <c r="B10" s="119">
        <v>5.18</v>
      </c>
      <c r="C10" s="154">
        <v>0.60799999999999998</v>
      </c>
      <c r="D10" s="154">
        <v>0.58899999999999997</v>
      </c>
      <c r="E10" s="125">
        <f t="shared" si="0"/>
        <v>0.59850000000000003</v>
      </c>
      <c r="F10" s="125">
        <f t="shared" si="1"/>
        <v>0.48100000000000004</v>
      </c>
      <c r="G10" s="125"/>
      <c r="H10" s="125"/>
      <c r="I10" s="125"/>
      <c r="J10" s="125"/>
      <c r="K10" s="119"/>
    </row>
    <row r="11" spans="1:11">
      <c r="C11" s="51" t="s">
        <v>74</v>
      </c>
      <c r="E11" s="125"/>
      <c r="F11" s="125"/>
      <c r="G11" s="125"/>
      <c r="H11" s="125"/>
      <c r="I11" s="125"/>
      <c r="J11" s="155" t="s">
        <v>68</v>
      </c>
      <c r="K11" s="155"/>
    </row>
    <row r="12" spans="1:11">
      <c r="C12" s="121">
        <v>3</v>
      </c>
      <c r="D12" s="121">
        <v>4</v>
      </c>
      <c r="E12" s="125"/>
      <c r="F12" s="125"/>
      <c r="G12" s="152" t="s">
        <v>75</v>
      </c>
      <c r="H12" s="122" t="s">
        <v>72</v>
      </c>
      <c r="I12" s="122" t="s">
        <v>12</v>
      </c>
      <c r="J12" s="122" t="s">
        <v>72</v>
      </c>
      <c r="K12" s="122" t="s">
        <v>12</v>
      </c>
    </row>
    <row r="13" spans="1:11">
      <c r="A13" s="156" t="s">
        <v>17</v>
      </c>
      <c r="B13" s="135">
        <v>1</v>
      </c>
      <c r="C13" s="139">
        <v>0.27400000000000002</v>
      </c>
      <c r="D13" s="139">
        <v>0.25</v>
      </c>
      <c r="E13" s="125">
        <f t="shared" ref="E13:E18" si="2">AVERAGE(C13:D13)</f>
        <v>0.26200000000000001</v>
      </c>
      <c r="F13" s="125">
        <f t="shared" ref="F13:F18" si="3">E13-$E$6</f>
        <v>0.14450000000000002</v>
      </c>
      <c r="G13" s="125">
        <f>(F13+0.034)/0.098</f>
        <v>1.8214285714285716</v>
      </c>
      <c r="H13" s="157">
        <f>AVERAGE(G13:G18)</f>
        <v>1.5314625850340136</v>
      </c>
      <c r="I13" s="157">
        <f>STDEV(G13:G18)/SQRT(6)</f>
        <v>9.5354187018705655E-2</v>
      </c>
      <c r="J13" s="137">
        <f>AVERAGE(G13:G17)</f>
        <v>1.6091836734693878</v>
      </c>
      <c r="K13" s="137">
        <f>STDEV(G13:G17)/SQRT(5)</f>
        <v>6.7659294199898787E-2</v>
      </c>
    </row>
    <row r="14" spans="1:11">
      <c r="A14" s="158"/>
      <c r="B14" s="135">
        <v>2</v>
      </c>
      <c r="C14" s="139">
        <v>0.25</v>
      </c>
      <c r="D14" s="127">
        <v>0.224</v>
      </c>
      <c r="E14" s="125">
        <f t="shared" si="2"/>
        <v>0.23699999999999999</v>
      </c>
      <c r="F14" s="125">
        <f t="shared" si="3"/>
        <v>0.1195</v>
      </c>
      <c r="G14" s="125">
        <f t="shared" ref="G14:G18" si="4">(F14+0.034)/0.098</f>
        <v>1.5663265306122449</v>
      </c>
      <c r="H14" s="157"/>
      <c r="I14" s="157"/>
      <c r="J14" s="137"/>
      <c r="K14" s="137"/>
    </row>
    <row r="15" spans="1:11">
      <c r="A15" s="158"/>
      <c r="B15" s="135">
        <v>3</v>
      </c>
      <c r="C15" s="127">
        <v>0.21099999999999999</v>
      </c>
      <c r="D15" s="127">
        <v>0.23200000000000001</v>
      </c>
      <c r="E15" s="125">
        <f t="shared" si="2"/>
        <v>0.2215</v>
      </c>
      <c r="F15" s="125">
        <f t="shared" si="3"/>
        <v>0.10400000000000001</v>
      </c>
      <c r="G15" s="125">
        <f t="shared" si="4"/>
        <v>1.4081632653061225</v>
      </c>
      <c r="H15" s="157"/>
      <c r="I15" s="157"/>
      <c r="J15" s="137"/>
      <c r="K15" s="137"/>
    </row>
    <row r="16" spans="1:11">
      <c r="A16" s="158"/>
      <c r="B16" s="135">
        <v>4</v>
      </c>
      <c r="C16" s="139">
        <v>0.26</v>
      </c>
      <c r="D16" s="127">
        <v>0.23400000000000001</v>
      </c>
      <c r="E16" s="125">
        <f t="shared" si="2"/>
        <v>0.247</v>
      </c>
      <c r="F16" s="125">
        <f t="shared" si="3"/>
        <v>0.1295</v>
      </c>
      <c r="G16" s="125">
        <f t="shared" si="4"/>
        <v>1.6683673469387754</v>
      </c>
      <c r="H16" s="157"/>
      <c r="I16" s="157"/>
      <c r="J16" s="137"/>
      <c r="K16" s="137"/>
    </row>
    <row r="17" spans="1:12">
      <c r="A17" s="158"/>
      <c r="B17" s="135">
        <v>5</v>
      </c>
      <c r="C17" s="127">
        <v>0.23400000000000001</v>
      </c>
      <c r="D17" s="139">
        <v>0.24299999999999999</v>
      </c>
      <c r="E17" s="125">
        <f t="shared" si="2"/>
        <v>0.23849999999999999</v>
      </c>
      <c r="F17" s="125">
        <f t="shared" si="3"/>
        <v>0.121</v>
      </c>
      <c r="G17" s="125">
        <f t="shared" si="4"/>
        <v>1.5816326530612244</v>
      </c>
      <c r="H17" s="157"/>
      <c r="I17" s="157"/>
      <c r="J17" s="137"/>
      <c r="K17" s="137"/>
    </row>
    <row r="18" spans="1:12">
      <c r="A18" s="158"/>
      <c r="B18" s="135">
        <v>6</v>
      </c>
      <c r="C18" s="127">
        <v>0.20100000000000001</v>
      </c>
      <c r="D18" s="153">
        <v>0.19</v>
      </c>
      <c r="E18" s="125">
        <f t="shared" si="2"/>
        <v>0.19550000000000001</v>
      </c>
      <c r="F18" s="125">
        <f t="shared" si="3"/>
        <v>7.8000000000000014E-2</v>
      </c>
      <c r="G18" s="159">
        <f t="shared" si="4"/>
        <v>1.142857142857143</v>
      </c>
      <c r="H18" s="157"/>
      <c r="I18" s="157"/>
      <c r="J18" s="137"/>
      <c r="K18" s="137"/>
      <c r="L18" s="50">
        <f>K13/J13*100</f>
        <v>4.2045724994230058</v>
      </c>
    </row>
    <row r="19" spans="1:12">
      <c r="C19" s="51" t="s">
        <v>76</v>
      </c>
      <c r="E19" s="125"/>
      <c r="F19" s="125"/>
      <c r="G19" s="125"/>
      <c r="H19" s="152"/>
      <c r="I19" s="152"/>
      <c r="J19" s="125"/>
      <c r="K19" s="119"/>
    </row>
    <row r="20" spans="1:12">
      <c r="C20" s="121">
        <v>5</v>
      </c>
      <c r="D20" s="121">
        <v>6</v>
      </c>
      <c r="E20" s="125"/>
      <c r="F20" s="125"/>
      <c r="G20" s="125"/>
      <c r="H20" s="152"/>
      <c r="I20" s="152"/>
      <c r="J20" s="125"/>
      <c r="K20" s="119"/>
    </row>
    <row r="21" spans="1:12">
      <c r="A21" s="156" t="s">
        <v>63</v>
      </c>
      <c r="B21" s="135">
        <v>7</v>
      </c>
      <c r="C21" s="127">
        <v>0.224</v>
      </c>
      <c r="D21" s="127">
        <v>0.22500000000000001</v>
      </c>
      <c r="E21" s="125">
        <f t="shared" ref="E21:E26" si="5">AVERAGE(C21:D21)</f>
        <v>0.22450000000000001</v>
      </c>
      <c r="F21" s="125">
        <f t="shared" ref="F21:F26" si="6">E21-$E$6</f>
        <v>0.10700000000000001</v>
      </c>
      <c r="G21" s="125">
        <f t="shared" ref="G21:G26" si="7">(F21+0.034)/0.098</f>
        <v>1.4387755102040818</v>
      </c>
      <c r="H21" s="157">
        <f>AVERAGE(G21:G27)</f>
        <v>1.634040535319119</v>
      </c>
      <c r="I21" s="157">
        <f>STDEV(G21:G27)/SQRT(7)</f>
        <v>0.17885054108671891</v>
      </c>
      <c r="J21" s="157">
        <f>AVERAGE(G21:G23,G25:G26)</f>
        <v>1.3622448979591835</v>
      </c>
      <c r="K21" s="157">
        <f>STDEV(G21:G23,G25:G26)/SQRT(5)</f>
        <v>4.4624631848307741E-2</v>
      </c>
    </row>
    <row r="22" spans="1:12">
      <c r="A22" s="158"/>
      <c r="B22" s="135">
        <v>8</v>
      </c>
      <c r="C22" s="127">
        <v>0.24</v>
      </c>
      <c r="D22" s="153">
        <v>0.19600000000000001</v>
      </c>
      <c r="E22" s="125">
        <f t="shared" si="5"/>
        <v>0.218</v>
      </c>
      <c r="F22" s="125">
        <f t="shared" si="6"/>
        <v>0.10050000000000001</v>
      </c>
      <c r="G22" s="125">
        <f t="shared" si="7"/>
        <v>1.3724489795918369</v>
      </c>
      <c r="H22" s="157"/>
      <c r="I22" s="157"/>
      <c r="J22" s="157"/>
      <c r="K22" s="157"/>
    </row>
    <row r="23" spans="1:12">
      <c r="A23" s="158"/>
      <c r="B23" s="135">
        <v>9</v>
      </c>
      <c r="C23" s="127">
        <v>0.21099999999999999</v>
      </c>
      <c r="D23" s="153">
        <v>0.189</v>
      </c>
      <c r="E23" s="125">
        <f t="shared" si="5"/>
        <v>0.2</v>
      </c>
      <c r="F23" s="125">
        <f t="shared" si="6"/>
        <v>8.2500000000000018E-2</v>
      </c>
      <c r="G23" s="125">
        <f t="shared" si="7"/>
        <v>1.1887755102040818</v>
      </c>
      <c r="H23" s="157"/>
      <c r="I23" s="157"/>
      <c r="J23" s="157"/>
      <c r="K23" s="157"/>
    </row>
    <row r="24" spans="1:12">
      <c r="A24" s="158"/>
      <c r="B24" s="160">
        <v>10</v>
      </c>
      <c r="C24" s="147">
        <v>0.30299999999999999</v>
      </c>
      <c r="D24" s="147">
        <v>0.30299999999999999</v>
      </c>
      <c r="E24" s="161">
        <f t="shared" si="5"/>
        <v>0.30299999999999999</v>
      </c>
      <c r="F24" s="161">
        <f t="shared" si="6"/>
        <v>0.1855</v>
      </c>
      <c r="G24" s="162">
        <f t="shared" si="7"/>
        <v>2.239795918367347</v>
      </c>
      <c r="H24" s="157"/>
      <c r="I24" s="157"/>
      <c r="J24" s="157"/>
      <c r="K24" s="157"/>
    </row>
    <row r="25" spans="1:12">
      <c r="A25" s="158"/>
      <c r="B25" s="135">
        <v>11</v>
      </c>
      <c r="C25" s="127">
        <v>0.224</v>
      </c>
      <c r="D25" s="127">
        <v>0.219</v>
      </c>
      <c r="E25" s="125">
        <f t="shared" si="5"/>
        <v>0.2215</v>
      </c>
      <c r="F25" s="125">
        <f t="shared" si="6"/>
        <v>0.10400000000000001</v>
      </c>
      <c r="G25" s="125">
        <f t="shared" si="7"/>
        <v>1.4081632653061225</v>
      </c>
      <c r="H25" s="157"/>
      <c r="I25" s="157"/>
      <c r="J25" s="157"/>
      <c r="K25" s="157"/>
    </row>
    <row r="26" spans="1:12">
      <c r="A26" s="158"/>
      <c r="B26" s="135">
        <v>12</v>
      </c>
      <c r="C26" s="127">
        <v>0.20599999999999999</v>
      </c>
      <c r="D26" s="127">
        <v>0.23599999999999999</v>
      </c>
      <c r="E26" s="125">
        <f t="shared" si="5"/>
        <v>0.22099999999999997</v>
      </c>
      <c r="F26" s="125">
        <f t="shared" si="6"/>
        <v>0.10349999999999998</v>
      </c>
      <c r="G26" s="125">
        <f t="shared" si="7"/>
        <v>1.4030612244897958</v>
      </c>
      <c r="H26" s="157"/>
      <c r="I26" s="157"/>
      <c r="J26" s="157"/>
      <c r="K26" s="157"/>
    </row>
    <row r="27" spans="1:12">
      <c r="A27" s="163"/>
      <c r="B27" s="135">
        <v>13</v>
      </c>
      <c r="C27" s="164"/>
      <c r="D27" s="164"/>
      <c r="E27" s="125"/>
      <c r="F27" s="125"/>
      <c r="G27" s="165">
        <v>2.3872633390705684</v>
      </c>
      <c r="H27" s="157"/>
      <c r="I27" s="157"/>
      <c r="J27" s="157"/>
      <c r="K27" s="157"/>
      <c r="L27" s="50">
        <f>K21/J21*100</f>
        <v>3.2758156712615429</v>
      </c>
    </row>
    <row r="28" spans="1:12">
      <c r="C28" s="51" t="s">
        <v>77</v>
      </c>
      <c r="E28" s="125"/>
      <c r="F28" s="125"/>
      <c r="G28" s="125"/>
      <c r="H28" s="152"/>
      <c r="I28" s="152"/>
      <c r="J28" s="166"/>
      <c r="K28" s="119"/>
    </row>
    <row r="29" spans="1:12">
      <c r="C29" s="121">
        <v>7</v>
      </c>
      <c r="D29" s="121">
        <v>8</v>
      </c>
      <c r="E29" s="125"/>
      <c r="F29" s="125"/>
      <c r="G29" s="125"/>
      <c r="H29" s="152"/>
      <c r="I29" s="152"/>
      <c r="J29" s="125"/>
      <c r="K29" s="119"/>
    </row>
    <row r="30" spans="1:12">
      <c r="A30" s="156" t="s">
        <v>19</v>
      </c>
      <c r="B30" s="135">
        <v>1</v>
      </c>
      <c r="C30" s="139">
        <v>0.246</v>
      </c>
      <c r="D30" s="139">
        <v>0.26600000000000001</v>
      </c>
      <c r="E30" s="125">
        <f t="shared" ref="E30:E35" si="8">AVERAGE(C30:D30)</f>
        <v>0.25600000000000001</v>
      </c>
      <c r="F30" s="125">
        <f t="shared" ref="F30:F35" si="9">E30-$E$6</f>
        <v>0.13850000000000001</v>
      </c>
      <c r="G30" s="125">
        <f t="shared" ref="G30:G35" si="10">(F30+0.034)/0.098</f>
        <v>1.7602040816326532</v>
      </c>
      <c r="H30" s="157">
        <f>AVERAGE(G30:G35)</f>
        <v>1.7755102040816328</v>
      </c>
      <c r="I30" s="157">
        <f>STDEV(G30:G35)/SQRT(6)</f>
        <v>4.5136964347029587E-2</v>
      </c>
      <c r="J30" s="137">
        <f>AVERAGE(G30,G32:G35)</f>
        <v>1.8173469387755101</v>
      </c>
      <c r="K30" s="137">
        <f>STDEV(G30,G32:G35)/SQRT(5)</f>
        <v>2.0749693273128981E-2</v>
      </c>
    </row>
    <row r="31" spans="1:12">
      <c r="A31" s="158"/>
      <c r="B31" s="135">
        <v>2</v>
      </c>
      <c r="C31" s="127">
        <v>0.223</v>
      </c>
      <c r="D31" s="139">
        <v>0.251</v>
      </c>
      <c r="E31" s="125">
        <f t="shared" si="8"/>
        <v>0.23699999999999999</v>
      </c>
      <c r="F31" s="125">
        <f t="shared" si="9"/>
        <v>0.1195</v>
      </c>
      <c r="G31" s="159">
        <f t="shared" si="10"/>
        <v>1.5663265306122449</v>
      </c>
      <c r="H31" s="157"/>
      <c r="I31" s="157"/>
      <c r="J31" s="137"/>
      <c r="K31" s="137"/>
    </row>
    <row r="32" spans="1:12">
      <c r="A32" s="158"/>
      <c r="B32" s="135">
        <v>3</v>
      </c>
      <c r="C32" s="139">
        <v>0.253</v>
      </c>
      <c r="D32" s="139">
        <v>0.28100000000000003</v>
      </c>
      <c r="E32" s="125">
        <f t="shared" si="8"/>
        <v>0.26700000000000002</v>
      </c>
      <c r="F32" s="125">
        <f t="shared" si="9"/>
        <v>0.14950000000000002</v>
      </c>
      <c r="G32" s="125">
        <f t="shared" si="10"/>
        <v>1.8724489795918369</v>
      </c>
      <c r="H32" s="157"/>
      <c r="I32" s="157"/>
      <c r="J32" s="137"/>
      <c r="K32" s="137"/>
    </row>
    <row r="33" spans="1:12">
      <c r="A33" s="158"/>
      <c r="B33" s="135">
        <v>4</v>
      </c>
      <c r="C33" s="139">
        <v>0.26900000000000002</v>
      </c>
      <c r="D33" s="139">
        <v>0.247</v>
      </c>
      <c r="E33" s="125">
        <f t="shared" si="8"/>
        <v>0.25800000000000001</v>
      </c>
      <c r="F33" s="125">
        <f t="shared" si="9"/>
        <v>0.14050000000000001</v>
      </c>
      <c r="G33" s="125">
        <f t="shared" si="10"/>
        <v>1.7806122448979593</v>
      </c>
      <c r="H33" s="157"/>
      <c r="I33" s="157"/>
      <c r="J33" s="137"/>
      <c r="K33" s="137"/>
    </row>
    <row r="34" spans="1:12">
      <c r="A34" s="158"/>
      <c r="B34" s="135">
        <v>5</v>
      </c>
      <c r="C34" s="139">
        <v>0.26</v>
      </c>
      <c r="D34" s="139">
        <v>0.26900000000000002</v>
      </c>
      <c r="E34" s="125">
        <f t="shared" si="8"/>
        <v>0.26450000000000001</v>
      </c>
      <c r="F34" s="125">
        <f t="shared" si="9"/>
        <v>0.14700000000000002</v>
      </c>
      <c r="G34" s="125">
        <f t="shared" si="10"/>
        <v>1.8469387755102042</v>
      </c>
      <c r="H34" s="157"/>
      <c r="I34" s="157"/>
      <c r="J34" s="137"/>
      <c r="K34" s="137"/>
    </row>
    <row r="35" spans="1:12">
      <c r="A35" s="158"/>
      <c r="B35" s="135">
        <v>6</v>
      </c>
      <c r="C35" s="139">
        <v>0.25900000000000001</v>
      </c>
      <c r="D35" s="139">
        <v>0.26600000000000001</v>
      </c>
      <c r="E35" s="125">
        <f t="shared" si="8"/>
        <v>0.26250000000000001</v>
      </c>
      <c r="F35" s="125">
        <f t="shared" si="9"/>
        <v>0.14500000000000002</v>
      </c>
      <c r="G35" s="125">
        <f t="shared" si="10"/>
        <v>1.8265306122448981</v>
      </c>
      <c r="H35" s="157"/>
      <c r="I35" s="157"/>
      <c r="J35" s="137"/>
      <c r="K35" s="137"/>
      <c r="L35" s="50">
        <f>K30/J30*100</f>
        <v>1.1417574063821676</v>
      </c>
    </row>
    <row r="36" spans="1:12">
      <c r="C36" s="51" t="s">
        <v>78</v>
      </c>
      <c r="E36" s="125"/>
      <c r="F36" s="125"/>
      <c r="G36" s="125"/>
      <c r="H36" s="152"/>
      <c r="I36" s="152"/>
      <c r="J36" s="125"/>
      <c r="K36" s="119"/>
    </row>
    <row r="37" spans="1:12">
      <c r="C37" s="121">
        <v>9</v>
      </c>
      <c r="D37" s="121">
        <v>10</v>
      </c>
      <c r="E37" s="125"/>
      <c r="F37" s="125"/>
      <c r="G37" s="125"/>
      <c r="H37" s="152"/>
      <c r="I37" s="152"/>
      <c r="J37" s="125"/>
      <c r="K37" s="119"/>
    </row>
    <row r="38" spans="1:12">
      <c r="A38" s="156" t="s">
        <v>64</v>
      </c>
      <c r="B38" s="135">
        <v>7</v>
      </c>
      <c r="C38" s="136">
        <v>0.312</v>
      </c>
      <c r="D38" s="136">
        <v>0.31900000000000001</v>
      </c>
      <c r="E38" s="125">
        <f t="shared" ref="E38:E43" si="11">AVERAGE(C38:D38)</f>
        <v>0.3155</v>
      </c>
      <c r="F38" s="125">
        <f t="shared" ref="F38:F43" si="12">E38-$E$6</f>
        <v>0.19800000000000001</v>
      </c>
      <c r="G38" s="125">
        <f t="shared" ref="G38:G43" si="13">(F38+0.034)/0.098</f>
        <v>2.3673469387755102</v>
      </c>
      <c r="H38" s="157">
        <f>AVERAGE(G38:G43)</f>
        <v>1.7568027210884354</v>
      </c>
      <c r="I38" s="157">
        <f>STDEV(G38:G43)/SQRT(6)</f>
        <v>0.18583696827424059</v>
      </c>
      <c r="J38" s="137">
        <f>AVERAGE(G38:G43)</f>
        <v>1.7568027210884354</v>
      </c>
      <c r="K38" s="137">
        <f>STDEV(G38:G43)/SQRT(6)</f>
        <v>0.18583696827424059</v>
      </c>
    </row>
    <row r="39" spans="1:12">
      <c r="A39" s="158"/>
      <c r="B39" s="135">
        <v>8</v>
      </c>
      <c r="C39" s="136">
        <v>0.28699999999999998</v>
      </c>
      <c r="D39" s="136">
        <v>0.30499999999999999</v>
      </c>
      <c r="E39" s="125">
        <f t="shared" si="11"/>
        <v>0.29599999999999999</v>
      </c>
      <c r="F39" s="125">
        <f t="shared" si="12"/>
        <v>0.17849999999999999</v>
      </c>
      <c r="G39" s="125">
        <f t="shared" si="13"/>
        <v>2.1683673469387754</v>
      </c>
      <c r="H39" s="157"/>
      <c r="I39" s="157"/>
      <c r="J39" s="137"/>
      <c r="K39" s="137"/>
    </row>
    <row r="40" spans="1:12">
      <c r="A40" s="158"/>
      <c r="B40" s="135">
        <v>9</v>
      </c>
      <c r="C40" s="127">
        <v>0.215</v>
      </c>
      <c r="D40" s="139">
        <v>0.24399999999999999</v>
      </c>
      <c r="E40" s="125">
        <f t="shared" si="11"/>
        <v>0.22949999999999998</v>
      </c>
      <c r="F40" s="125">
        <f t="shared" si="12"/>
        <v>0.11199999999999999</v>
      </c>
      <c r="G40" s="125">
        <f t="shared" si="13"/>
        <v>1.4897959183673468</v>
      </c>
      <c r="H40" s="157"/>
      <c r="I40" s="157"/>
      <c r="J40" s="137"/>
      <c r="K40" s="137"/>
    </row>
    <row r="41" spans="1:12">
      <c r="A41" s="158"/>
      <c r="B41" s="135">
        <v>10</v>
      </c>
      <c r="C41" s="127">
        <v>0.23599999999999999</v>
      </c>
      <c r="D41" s="153">
        <v>0.183</v>
      </c>
      <c r="E41" s="125">
        <f t="shared" si="11"/>
        <v>0.20949999999999999</v>
      </c>
      <c r="F41" s="125">
        <f t="shared" si="12"/>
        <v>9.1999999999999998E-2</v>
      </c>
      <c r="G41" s="125">
        <f t="shared" si="13"/>
        <v>1.2857142857142856</v>
      </c>
      <c r="H41" s="157"/>
      <c r="I41" s="157"/>
      <c r="J41" s="137"/>
      <c r="K41" s="137"/>
    </row>
    <row r="42" spans="1:12">
      <c r="A42" s="158"/>
      <c r="B42" s="135">
        <v>11</v>
      </c>
      <c r="C42" s="127">
        <v>0.20499999999999999</v>
      </c>
      <c r="D42" s="127">
        <v>0.223</v>
      </c>
      <c r="E42" s="125">
        <f t="shared" si="11"/>
        <v>0.214</v>
      </c>
      <c r="F42" s="125">
        <f t="shared" si="12"/>
        <v>9.6500000000000002E-2</v>
      </c>
      <c r="G42" s="125">
        <f t="shared" si="13"/>
        <v>1.3316326530612246</v>
      </c>
      <c r="H42" s="157"/>
      <c r="I42" s="157"/>
      <c r="J42" s="137"/>
      <c r="K42" s="137"/>
    </row>
    <row r="43" spans="1:12">
      <c r="A43" s="158"/>
      <c r="B43" s="135">
        <v>12</v>
      </c>
      <c r="C43" s="139">
        <v>0.253</v>
      </c>
      <c r="D43" s="136">
        <v>0.28599999999999998</v>
      </c>
      <c r="E43" s="125">
        <f t="shared" si="11"/>
        <v>0.26949999999999996</v>
      </c>
      <c r="F43" s="125">
        <f t="shared" si="12"/>
        <v>0.15199999999999997</v>
      </c>
      <c r="G43" s="125">
        <f t="shared" si="13"/>
        <v>1.8979591836734691</v>
      </c>
      <c r="H43" s="157"/>
      <c r="I43" s="157"/>
      <c r="J43" s="137"/>
      <c r="K43" s="137"/>
      <c r="L43" s="50">
        <f>K38/J38*100</f>
        <v>10.578135270595688</v>
      </c>
    </row>
    <row r="44" spans="1:12">
      <c r="B44" s="135"/>
    </row>
  </sheetData>
  <mergeCells count="21">
    <mergeCell ref="A38:A43"/>
    <mergeCell ref="H38:H43"/>
    <mergeCell ref="I38:I43"/>
    <mergeCell ref="J38:J43"/>
    <mergeCell ref="K38:K43"/>
    <mergeCell ref="A21:A26"/>
    <mergeCell ref="H21:H27"/>
    <mergeCell ref="I21:I27"/>
    <mergeCell ref="J21:J27"/>
    <mergeCell ref="K21:K27"/>
    <mergeCell ref="A30:A35"/>
    <mergeCell ref="H30:H35"/>
    <mergeCell ref="I30:I35"/>
    <mergeCell ref="J30:J35"/>
    <mergeCell ref="K30:K35"/>
    <mergeCell ref="J11:K11"/>
    <mergeCell ref="A13:A18"/>
    <mergeCell ref="H13:H18"/>
    <mergeCell ref="I13:I18"/>
    <mergeCell ref="J13:J18"/>
    <mergeCell ref="K13:K1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40"/>
  <sheetViews>
    <sheetView zoomScale="70" zoomScaleNormal="70" workbookViewId="0">
      <selection activeCell="O22" sqref="O22"/>
    </sheetView>
  </sheetViews>
  <sheetFormatPr baseColWidth="10" defaultRowHeight="12.75"/>
  <cols>
    <col min="1" max="16384" width="11.42578125" style="50"/>
  </cols>
  <sheetData>
    <row r="2" spans="1:10">
      <c r="B2" s="167" t="s">
        <v>0</v>
      </c>
      <c r="C2" s="168"/>
      <c r="D2" s="51" t="s">
        <v>72</v>
      </c>
      <c r="E2" s="51" t="s">
        <v>73</v>
      </c>
    </row>
    <row r="3" spans="1:10">
      <c r="B3" s="169">
        <v>1</v>
      </c>
      <c r="C3" s="169">
        <v>2</v>
      </c>
      <c r="D3" s="125"/>
      <c r="E3" s="125"/>
      <c r="F3" s="125"/>
      <c r="G3" s="125"/>
      <c r="H3" s="125"/>
      <c r="I3" s="125"/>
      <c r="J3" s="125"/>
    </row>
    <row r="4" spans="1:10">
      <c r="A4" s="50">
        <v>0</v>
      </c>
      <c r="B4" s="103">
        <v>0.12</v>
      </c>
      <c r="C4" s="103">
        <v>0.123</v>
      </c>
      <c r="D4" s="125">
        <f>AVERAGE(B4:C4)</f>
        <v>0.1215</v>
      </c>
      <c r="E4" s="125">
        <f>D4-$D$4</f>
        <v>0</v>
      </c>
      <c r="F4" s="125"/>
      <c r="G4" s="125"/>
      <c r="H4" s="125"/>
      <c r="I4" s="125"/>
      <c r="J4" s="125"/>
    </row>
    <row r="5" spans="1:10">
      <c r="A5" s="50">
        <v>0.28000000000000003</v>
      </c>
      <c r="B5" s="103">
        <v>0.16200000000000001</v>
      </c>
      <c r="C5" s="103">
        <v>0.16300000000000001</v>
      </c>
      <c r="D5" s="125">
        <f>AVERAGE(B5:C5)</f>
        <v>0.16250000000000001</v>
      </c>
      <c r="E5" s="125">
        <f>D5-$D$4</f>
        <v>4.1000000000000009E-2</v>
      </c>
      <c r="F5" s="125"/>
      <c r="G5" s="125"/>
      <c r="H5" s="125"/>
      <c r="I5" s="125"/>
      <c r="J5" s="125"/>
    </row>
    <row r="6" spans="1:10">
      <c r="A6" s="50">
        <v>0.56000000000000005</v>
      </c>
      <c r="B6" s="103">
        <v>0.214</v>
      </c>
      <c r="C6" s="103">
        <v>0.218</v>
      </c>
      <c r="D6" s="125">
        <f>AVERAGE(B6:C6)</f>
        <v>0.216</v>
      </c>
      <c r="E6" s="125">
        <f>D6-$D$4</f>
        <v>9.4500000000000001E-2</v>
      </c>
      <c r="F6" s="125"/>
      <c r="G6" s="125"/>
      <c r="H6" s="125"/>
      <c r="I6" s="125"/>
      <c r="J6" s="125"/>
    </row>
    <row r="7" spans="1:10">
      <c r="A7" s="50">
        <v>1.1299999999999999</v>
      </c>
      <c r="B7" s="106">
        <v>0.30299999999999999</v>
      </c>
      <c r="C7" s="106">
        <v>0.30599999999999999</v>
      </c>
      <c r="D7" s="125">
        <f>AVERAGE(B7:C7)</f>
        <v>0.30449999999999999</v>
      </c>
      <c r="E7" s="125">
        <f>D7-$D$4</f>
        <v>0.183</v>
      </c>
      <c r="F7" s="125"/>
      <c r="G7" s="125"/>
      <c r="H7" s="125"/>
      <c r="I7" s="125"/>
      <c r="J7" s="125"/>
    </row>
    <row r="8" spans="1:10">
      <c r="A8" s="50">
        <v>2.2599999999999998</v>
      </c>
      <c r="B8" s="106">
        <v>0.54100000000000004</v>
      </c>
      <c r="C8" s="106">
        <v>0.53100000000000003</v>
      </c>
      <c r="D8" s="125">
        <f>AVERAGE(B8:C8)</f>
        <v>0.53600000000000003</v>
      </c>
      <c r="E8" s="125">
        <f>D8-$D$4</f>
        <v>0.41450000000000004</v>
      </c>
      <c r="F8" s="125"/>
      <c r="G8" s="125"/>
      <c r="H8" s="125"/>
      <c r="I8" s="125"/>
      <c r="J8" s="125"/>
    </row>
    <row r="9" spans="1:10">
      <c r="B9" s="51" t="s">
        <v>22</v>
      </c>
      <c r="D9" s="125"/>
      <c r="E9" s="125"/>
      <c r="F9" s="125"/>
      <c r="G9" s="125"/>
      <c r="H9" s="125"/>
      <c r="I9" s="170" t="s">
        <v>68</v>
      </c>
      <c r="J9" s="171"/>
    </row>
    <row r="10" spans="1:10">
      <c r="A10" s="172" t="s">
        <v>79</v>
      </c>
      <c r="B10" s="169">
        <v>3</v>
      </c>
      <c r="C10" s="169">
        <v>4</v>
      </c>
      <c r="D10" s="125"/>
      <c r="E10" s="125"/>
      <c r="F10" s="152" t="s">
        <v>75</v>
      </c>
      <c r="G10" s="152" t="s">
        <v>72</v>
      </c>
      <c r="H10" s="152" t="s">
        <v>12</v>
      </c>
      <c r="I10" s="173" t="s">
        <v>72</v>
      </c>
      <c r="J10" s="173" t="s">
        <v>12</v>
      </c>
    </row>
    <row r="11" spans="1:10">
      <c r="A11" s="174"/>
      <c r="B11" s="103">
        <v>0.25800000000000001</v>
      </c>
      <c r="C11" s="103">
        <v>0.27300000000000002</v>
      </c>
      <c r="D11" s="125">
        <f t="shared" ref="D11:D16" si="0">AVERAGE(B11:C11)</f>
        <v>0.26550000000000001</v>
      </c>
      <c r="E11" s="125">
        <f t="shared" ref="E11:E16" si="1">D11-$D$4</f>
        <v>0.14400000000000002</v>
      </c>
      <c r="F11" s="125">
        <f>(E11+0.0089)/0.1838</f>
        <v>0.83188248095756268</v>
      </c>
      <c r="G11" s="157">
        <f>AVERAGE(F11:F16)</f>
        <v>0.95475154153064923</v>
      </c>
      <c r="H11" s="157">
        <f>STDEV(F11:F16)/SQRT(6)</f>
        <v>0.1044330696181044</v>
      </c>
      <c r="I11" s="137"/>
      <c r="J11" s="137"/>
    </row>
    <row r="12" spans="1:10">
      <c r="A12" s="174"/>
      <c r="B12" s="103">
        <v>0.22</v>
      </c>
      <c r="C12" s="103">
        <v>0.27400000000000002</v>
      </c>
      <c r="D12" s="125">
        <f t="shared" si="0"/>
        <v>0.247</v>
      </c>
      <c r="E12" s="125">
        <f t="shared" si="1"/>
        <v>0.1255</v>
      </c>
      <c r="F12" s="125">
        <f t="shared" ref="F12:F40" si="2">(E12+0.0089)/0.1838</f>
        <v>0.73122959738846571</v>
      </c>
      <c r="G12" s="157"/>
      <c r="H12" s="157"/>
      <c r="I12" s="137"/>
      <c r="J12" s="137"/>
    </row>
    <row r="13" spans="1:10">
      <c r="A13" s="174"/>
      <c r="B13" s="103">
        <v>0.22900000000000001</v>
      </c>
      <c r="C13" s="103">
        <v>0.255</v>
      </c>
      <c r="D13" s="125">
        <f t="shared" si="0"/>
        <v>0.24199999999999999</v>
      </c>
      <c r="E13" s="125">
        <f t="shared" si="1"/>
        <v>0.1205</v>
      </c>
      <c r="F13" s="125">
        <f t="shared" si="2"/>
        <v>0.70402611534276383</v>
      </c>
      <c r="G13" s="157"/>
      <c r="H13" s="157"/>
      <c r="I13" s="137"/>
      <c r="J13" s="137"/>
    </row>
    <row r="14" spans="1:10">
      <c r="A14" s="174"/>
      <c r="B14" s="106">
        <v>0.29899999999999999</v>
      </c>
      <c r="C14" s="106">
        <v>0.377</v>
      </c>
      <c r="D14" s="125">
        <f t="shared" si="0"/>
        <v>0.33799999999999997</v>
      </c>
      <c r="E14" s="125">
        <f t="shared" si="1"/>
        <v>0.21649999999999997</v>
      </c>
      <c r="F14" s="125">
        <f t="shared" si="2"/>
        <v>1.2263329706202393</v>
      </c>
      <c r="G14" s="157"/>
      <c r="H14" s="157"/>
      <c r="I14" s="137"/>
      <c r="J14" s="137"/>
    </row>
    <row r="15" spans="1:10">
      <c r="A15" s="174"/>
      <c r="B15" s="103">
        <v>0.28199999999999997</v>
      </c>
      <c r="C15" s="103">
        <v>0.28399999999999997</v>
      </c>
      <c r="D15" s="125">
        <f t="shared" si="0"/>
        <v>0.28299999999999997</v>
      </c>
      <c r="E15" s="125">
        <f t="shared" si="1"/>
        <v>0.16149999999999998</v>
      </c>
      <c r="F15" s="125">
        <f t="shared" si="2"/>
        <v>0.92709466811751895</v>
      </c>
      <c r="G15" s="157"/>
      <c r="H15" s="157"/>
      <c r="I15" s="137"/>
      <c r="J15" s="137"/>
    </row>
    <row r="16" spans="1:10">
      <c r="A16" s="174"/>
      <c r="B16" s="106">
        <v>0.34499999999999997</v>
      </c>
      <c r="C16" s="106">
        <v>0.36099999999999999</v>
      </c>
      <c r="D16" s="125">
        <f t="shared" si="0"/>
        <v>0.35299999999999998</v>
      </c>
      <c r="E16" s="125">
        <f t="shared" si="1"/>
        <v>0.23149999999999998</v>
      </c>
      <c r="F16" s="125">
        <f t="shared" si="2"/>
        <v>1.3079434167573449</v>
      </c>
      <c r="G16" s="157"/>
      <c r="H16" s="157"/>
      <c r="I16" s="137"/>
      <c r="J16" s="137"/>
    </row>
    <row r="17" spans="1:10">
      <c r="B17" s="51" t="s">
        <v>22</v>
      </c>
      <c r="D17" s="125"/>
      <c r="E17" s="125"/>
      <c r="F17" s="125"/>
      <c r="G17" s="152"/>
      <c r="H17" s="152"/>
      <c r="I17" s="125"/>
      <c r="J17" s="125"/>
    </row>
    <row r="18" spans="1:10">
      <c r="A18" s="172" t="s">
        <v>80</v>
      </c>
      <c r="B18" s="169">
        <v>5</v>
      </c>
      <c r="C18" s="169">
        <v>6</v>
      </c>
      <c r="D18" s="125"/>
      <c r="E18" s="125"/>
      <c r="F18" s="125"/>
      <c r="G18" s="152"/>
      <c r="H18" s="152"/>
      <c r="I18" s="125"/>
      <c r="J18" s="125"/>
    </row>
    <row r="19" spans="1:10">
      <c r="A19" s="174"/>
      <c r="B19" s="106">
        <v>0.33600000000000002</v>
      </c>
      <c r="C19" s="106">
        <v>0.33600000000000002</v>
      </c>
      <c r="D19" s="125">
        <f t="shared" ref="D19:D24" si="3">AVERAGE(B19:C19)</f>
        <v>0.33600000000000002</v>
      </c>
      <c r="E19" s="125">
        <f t="shared" ref="E19:E24" si="4">D19-$D$4</f>
        <v>0.21450000000000002</v>
      </c>
      <c r="F19" s="125">
        <f t="shared" si="2"/>
        <v>1.2154515778019588</v>
      </c>
      <c r="G19" s="157">
        <f>AVERAGE(F19:F24)</f>
        <v>1.3723249909321729</v>
      </c>
      <c r="H19" s="157">
        <f>STDEV(F19:F24)/SQRT(6)</f>
        <v>0.13202083988812899</v>
      </c>
      <c r="I19" s="137">
        <f>AVERAGE(F19:F23)</f>
        <v>1.2644178454842223</v>
      </c>
      <c r="J19" s="137">
        <f>STDEV(F19:F23)/SQRT(5)</f>
        <v>9.3157528890920369E-2</v>
      </c>
    </row>
    <row r="20" spans="1:10">
      <c r="A20" s="174"/>
      <c r="B20" s="106">
        <v>0.41599999999999998</v>
      </c>
      <c r="C20" s="106">
        <v>0.40600000000000003</v>
      </c>
      <c r="D20" s="125">
        <f t="shared" si="3"/>
        <v>0.41100000000000003</v>
      </c>
      <c r="E20" s="125">
        <f t="shared" si="4"/>
        <v>0.28950000000000004</v>
      </c>
      <c r="F20" s="125">
        <f t="shared" si="2"/>
        <v>1.6235038084874869</v>
      </c>
      <c r="G20" s="157"/>
      <c r="H20" s="157"/>
      <c r="I20" s="137"/>
      <c r="J20" s="137"/>
    </row>
    <row r="21" spans="1:10">
      <c r="A21" s="174"/>
      <c r="B21" s="106">
        <v>0.314</v>
      </c>
      <c r="C21" s="106">
        <v>0.33100000000000002</v>
      </c>
      <c r="D21" s="125">
        <f t="shared" si="3"/>
        <v>0.32250000000000001</v>
      </c>
      <c r="E21" s="125">
        <f t="shared" si="4"/>
        <v>0.20100000000000001</v>
      </c>
      <c r="F21" s="125">
        <f t="shared" si="2"/>
        <v>1.1420021762785637</v>
      </c>
      <c r="G21" s="157"/>
      <c r="H21" s="157"/>
      <c r="I21" s="137"/>
      <c r="J21" s="137"/>
    </row>
    <row r="22" spans="1:10">
      <c r="A22" s="174"/>
      <c r="B22" s="106">
        <v>0.307</v>
      </c>
      <c r="C22" s="106">
        <v>0.32300000000000001</v>
      </c>
      <c r="D22" s="125">
        <f t="shared" si="3"/>
        <v>0.315</v>
      </c>
      <c r="E22" s="125">
        <f t="shared" si="4"/>
        <v>0.19350000000000001</v>
      </c>
      <c r="F22" s="125">
        <f t="shared" si="2"/>
        <v>1.101196953210011</v>
      </c>
      <c r="G22" s="157"/>
      <c r="H22" s="157"/>
      <c r="I22" s="137"/>
      <c r="J22" s="137"/>
    </row>
    <row r="23" spans="1:10">
      <c r="A23" s="174"/>
      <c r="B23" s="106">
        <v>0.33600000000000002</v>
      </c>
      <c r="C23" s="106">
        <v>0.34499999999999997</v>
      </c>
      <c r="D23" s="125">
        <f t="shared" si="3"/>
        <v>0.34050000000000002</v>
      </c>
      <c r="E23" s="125">
        <f t="shared" si="4"/>
        <v>0.21900000000000003</v>
      </c>
      <c r="F23" s="125">
        <f t="shared" si="2"/>
        <v>1.2399347116430905</v>
      </c>
      <c r="G23" s="157"/>
      <c r="H23" s="157"/>
      <c r="I23" s="137"/>
      <c r="J23" s="137"/>
    </row>
    <row r="24" spans="1:10">
      <c r="A24" s="174"/>
      <c r="B24" s="106">
        <v>0.379</v>
      </c>
      <c r="C24" s="106">
        <v>0.54900000000000004</v>
      </c>
      <c r="D24" s="125">
        <f t="shared" si="3"/>
        <v>0.46400000000000002</v>
      </c>
      <c r="E24" s="125">
        <f t="shared" si="4"/>
        <v>0.34250000000000003</v>
      </c>
      <c r="F24" s="175">
        <f t="shared" si="2"/>
        <v>1.9118607181719263</v>
      </c>
      <c r="G24" s="157"/>
      <c r="H24" s="157"/>
      <c r="I24" s="137"/>
      <c r="J24" s="137"/>
    </row>
    <row r="25" spans="1:10">
      <c r="B25" s="51" t="s">
        <v>27</v>
      </c>
      <c r="D25" s="125"/>
      <c r="E25" s="125"/>
      <c r="F25" s="125"/>
      <c r="G25" s="152"/>
      <c r="H25" s="152"/>
      <c r="I25" s="125"/>
      <c r="J25" s="125"/>
    </row>
    <row r="26" spans="1:10">
      <c r="A26" s="172" t="s">
        <v>81</v>
      </c>
      <c r="B26" s="169">
        <v>7</v>
      </c>
      <c r="C26" s="169">
        <v>8</v>
      </c>
      <c r="D26" s="125"/>
      <c r="E26" s="125"/>
      <c r="F26" s="125"/>
      <c r="G26" s="152"/>
      <c r="H26" s="152"/>
      <c r="I26" s="125"/>
      <c r="J26" s="125"/>
    </row>
    <row r="27" spans="1:10">
      <c r="A27" s="174"/>
      <c r="B27" s="106">
        <v>0.34399999999999997</v>
      </c>
      <c r="C27" s="106">
        <v>0.36499999999999999</v>
      </c>
      <c r="D27" s="125">
        <f t="shared" ref="D27:D32" si="5">AVERAGE(B27:C27)</f>
        <v>0.35449999999999998</v>
      </c>
      <c r="E27" s="125">
        <f t="shared" ref="E27:E32" si="6">D27-$D$4</f>
        <v>0.23299999999999998</v>
      </c>
      <c r="F27" s="125">
        <f t="shared" si="2"/>
        <v>1.3161044613710555</v>
      </c>
      <c r="G27" s="157">
        <f>AVERAGE(F27:F32)</f>
        <v>0.9973703300689154</v>
      </c>
      <c r="H27" s="157">
        <f>STDEV(F27:F32)/SQRT(6)</f>
        <v>9.1090150914126006E-2</v>
      </c>
      <c r="I27" s="137"/>
      <c r="J27" s="137"/>
    </row>
    <row r="28" spans="1:10">
      <c r="A28" s="174"/>
      <c r="B28" s="106">
        <v>0.29799999999999999</v>
      </c>
      <c r="C28" s="106">
        <v>0.33300000000000002</v>
      </c>
      <c r="D28" s="125">
        <f t="shared" si="5"/>
        <v>0.3155</v>
      </c>
      <c r="E28" s="125">
        <f t="shared" si="6"/>
        <v>0.19400000000000001</v>
      </c>
      <c r="F28" s="125">
        <f t="shared" si="2"/>
        <v>1.1039173014145811</v>
      </c>
      <c r="G28" s="157"/>
      <c r="H28" s="157"/>
      <c r="I28" s="137"/>
      <c r="J28" s="137"/>
    </row>
    <row r="29" spans="1:10">
      <c r="A29" s="174"/>
      <c r="B29" s="103">
        <v>0.251</v>
      </c>
      <c r="C29" s="103">
        <v>0.253</v>
      </c>
      <c r="D29" s="125">
        <f t="shared" si="5"/>
        <v>0.252</v>
      </c>
      <c r="E29" s="125">
        <f t="shared" si="6"/>
        <v>0.1305</v>
      </c>
      <c r="F29" s="125">
        <f t="shared" si="2"/>
        <v>0.7584330794341676</v>
      </c>
      <c r="G29" s="157"/>
      <c r="H29" s="157"/>
      <c r="I29" s="137"/>
      <c r="J29" s="137"/>
    </row>
    <row r="30" spans="1:10">
      <c r="A30" s="174"/>
      <c r="B30" s="103">
        <v>0.248</v>
      </c>
      <c r="C30" s="103">
        <v>0.247</v>
      </c>
      <c r="D30" s="125">
        <f t="shared" si="5"/>
        <v>0.2475</v>
      </c>
      <c r="E30" s="125">
        <f t="shared" si="6"/>
        <v>0.126</v>
      </c>
      <c r="F30" s="125">
        <f t="shared" si="2"/>
        <v>0.73394994559303595</v>
      </c>
      <c r="G30" s="157"/>
      <c r="H30" s="157"/>
      <c r="I30" s="137"/>
      <c r="J30" s="137"/>
    </row>
    <row r="31" spans="1:10">
      <c r="A31" s="174"/>
      <c r="B31" s="103">
        <v>0.26800000000000002</v>
      </c>
      <c r="C31" s="106">
        <v>0.317</v>
      </c>
      <c r="D31" s="125">
        <f t="shared" si="5"/>
        <v>0.29249999999999998</v>
      </c>
      <c r="E31" s="125">
        <f t="shared" si="6"/>
        <v>0.17099999999999999</v>
      </c>
      <c r="F31" s="125">
        <f t="shared" si="2"/>
        <v>0.97878128400435249</v>
      </c>
      <c r="G31" s="157"/>
      <c r="H31" s="157"/>
      <c r="I31" s="137"/>
      <c r="J31" s="137"/>
    </row>
    <row r="32" spans="1:10">
      <c r="A32" s="174"/>
      <c r="B32" s="103">
        <v>0.27700000000000002</v>
      </c>
      <c r="C32" s="106">
        <v>0.35</v>
      </c>
      <c r="D32" s="125">
        <f t="shared" si="5"/>
        <v>0.3135</v>
      </c>
      <c r="E32" s="125">
        <f t="shared" si="6"/>
        <v>0.192</v>
      </c>
      <c r="F32" s="125">
        <f t="shared" si="2"/>
        <v>1.0930359085963004</v>
      </c>
      <c r="G32" s="157"/>
      <c r="H32" s="157"/>
      <c r="I32" s="137"/>
      <c r="J32" s="137"/>
    </row>
    <row r="33" spans="1:10">
      <c r="B33" s="51" t="s">
        <v>27</v>
      </c>
      <c r="D33" s="125"/>
      <c r="E33" s="125"/>
      <c r="F33" s="125"/>
      <c r="G33" s="152"/>
      <c r="H33" s="152"/>
      <c r="I33" s="125"/>
      <c r="J33" s="125"/>
    </row>
    <row r="34" spans="1:10">
      <c r="A34" s="172" t="s">
        <v>82</v>
      </c>
      <c r="B34" s="169">
        <v>9</v>
      </c>
      <c r="C34" s="169">
        <v>10</v>
      </c>
      <c r="D34" s="125"/>
      <c r="E34" s="125"/>
      <c r="F34" s="125"/>
      <c r="G34" s="152"/>
      <c r="H34" s="152"/>
      <c r="I34" s="125"/>
      <c r="J34" s="125"/>
    </row>
    <row r="35" spans="1:10">
      <c r="A35" s="174"/>
      <c r="B35" s="106">
        <v>0.30199999999999999</v>
      </c>
      <c r="C35" s="106">
        <v>0.308</v>
      </c>
      <c r="D35" s="125">
        <f t="shared" ref="D35:D40" si="7">AVERAGE(B35:C35)</f>
        <v>0.30499999999999999</v>
      </c>
      <c r="E35" s="125">
        <f t="shared" ref="E35:E40" si="8">D35-$D$4</f>
        <v>0.1835</v>
      </c>
      <c r="F35" s="125">
        <f t="shared" si="2"/>
        <v>1.0467899891186072</v>
      </c>
      <c r="G35" s="157">
        <f>AVERAGE(F35:F40)</f>
        <v>1.7209829524845848</v>
      </c>
      <c r="H35" s="157">
        <f>STDEV(F35:F40)/SQRT(6)</f>
        <v>0.22257969986903128</v>
      </c>
      <c r="I35" s="137">
        <f>AVERAGE(F35:F38,F40)</f>
        <v>1.5342763873775844</v>
      </c>
      <c r="J35" s="137">
        <f>STDEV(F35:F38,F40)/SQRT(5)</f>
        <v>0.14840340969667851</v>
      </c>
    </row>
    <row r="36" spans="1:10">
      <c r="A36" s="174"/>
      <c r="B36" s="106">
        <v>0.41699999999999998</v>
      </c>
      <c r="C36" s="106">
        <v>0.52400000000000002</v>
      </c>
      <c r="D36" s="125">
        <f t="shared" si="7"/>
        <v>0.47050000000000003</v>
      </c>
      <c r="E36" s="125">
        <f t="shared" si="8"/>
        <v>0.34900000000000003</v>
      </c>
      <c r="F36" s="125">
        <f t="shared" si="2"/>
        <v>1.9472252448313387</v>
      </c>
      <c r="G36" s="157"/>
      <c r="H36" s="157"/>
      <c r="I36" s="137"/>
      <c r="J36" s="137"/>
    </row>
    <row r="37" spans="1:10">
      <c r="A37" s="174"/>
      <c r="B37" s="106">
        <v>0.39100000000000001</v>
      </c>
      <c r="C37" s="106">
        <v>0.42399999999999999</v>
      </c>
      <c r="D37" s="125">
        <f t="shared" si="7"/>
        <v>0.40749999999999997</v>
      </c>
      <c r="E37" s="125">
        <f t="shared" si="8"/>
        <v>0.28599999999999998</v>
      </c>
      <c r="F37" s="125">
        <f t="shared" si="2"/>
        <v>1.6044613710554951</v>
      </c>
      <c r="G37" s="157"/>
      <c r="H37" s="157"/>
      <c r="I37" s="137"/>
      <c r="J37" s="137"/>
    </row>
    <row r="38" spans="1:10">
      <c r="A38" s="174"/>
      <c r="B38" s="106">
        <v>0.36599999999999999</v>
      </c>
      <c r="C38" s="106">
        <v>0.38100000000000001</v>
      </c>
      <c r="D38" s="125">
        <f t="shared" si="7"/>
        <v>0.3735</v>
      </c>
      <c r="E38" s="125">
        <f t="shared" si="8"/>
        <v>0.252</v>
      </c>
      <c r="F38" s="125">
        <f t="shared" si="2"/>
        <v>1.4194776931447226</v>
      </c>
      <c r="G38" s="157"/>
      <c r="H38" s="157"/>
      <c r="I38" s="137"/>
      <c r="J38" s="137"/>
    </row>
    <row r="39" spans="1:10">
      <c r="A39" s="174"/>
      <c r="B39" s="106">
        <v>0.64300000000000002</v>
      </c>
      <c r="C39" s="106">
        <v>0.55800000000000005</v>
      </c>
      <c r="D39" s="125">
        <f t="shared" si="7"/>
        <v>0.60050000000000003</v>
      </c>
      <c r="E39" s="125">
        <f t="shared" si="8"/>
        <v>0.47900000000000004</v>
      </c>
      <c r="F39" s="175">
        <f t="shared" si="2"/>
        <v>2.6545157780195869</v>
      </c>
      <c r="G39" s="157"/>
      <c r="H39" s="157"/>
      <c r="I39" s="137"/>
      <c r="J39" s="137"/>
    </row>
    <row r="40" spans="1:10">
      <c r="A40" s="174"/>
      <c r="B40" s="106">
        <v>0.41299999999999998</v>
      </c>
      <c r="C40" s="106">
        <v>0.42</v>
      </c>
      <c r="D40" s="125">
        <f t="shared" si="7"/>
        <v>0.41649999999999998</v>
      </c>
      <c r="E40" s="125">
        <f t="shared" si="8"/>
        <v>0.29499999999999998</v>
      </c>
      <c r="F40" s="125">
        <f t="shared" si="2"/>
        <v>1.6534276387377584</v>
      </c>
      <c r="G40" s="157"/>
      <c r="H40" s="157"/>
      <c r="I40" s="137"/>
      <c r="J40" s="137"/>
    </row>
  </sheetData>
  <mergeCells count="22">
    <mergeCell ref="A34:A40"/>
    <mergeCell ref="G35:G40"/>
    <mergeCell ref="H35:H40"/>
    <mergeCell ref="I35:I40"/>
    <mergeCell ref="J35:J40"/>
    <mergeCell ref="A18:A24"/>
    <mergeCell ref="G19:G24"/>
    <mergeCell ref="H19:H24"/>
    <mergeCell ref="I19:I24"/>
    <mergeCell ref="J19:J24"/>
    <mergeCell ref="A26:A32"/>
    <mergeCell ref="G27:G32"/>
    <mergeCell ref="H27:H32"/>
    <mergeCell ref="I27:I32"/>
    <mergeCell ref="J27:J32"/>
    <mergeCell ref="B2:C2"/>
    <mergeCell ref="I9:J9"/>
    <mergeCell ref="A10:A16"/>
    <mergeCell ref="G11:G16"/>
    <mergeCell ref="H11:H16"/>
    <mergeCell ref="I11:I16"/>
    <mergeCell ref="J11:J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K41"/>
  <sheetViews>
    <sheetView zoomScale="70" zoomScaleNormal="70" workbookViewId="0">
      <selection activeCell="N46" sqref="N46"/>
    </sheetView>
  </sheetViews>
  <sheetFormatPr baseColWidth="10" defaultRowHeight="12.75"/>
  <cols>
    <col min="1" max="16384" width="11.42578125" style="50"/>
  </cols>
  <sheetData>
    <row r="3" spans="1:11">
      <c r="D3" s="51" t="s">
        <v>72</v>
      </c>
      <c r="E3" s="51" t="s">
        <v>83</v>
      </c>
    </row>
    <row r="4" spans="1:11">
      <c r="B4" s="169">
        <v>1</v>
      </c>
      <c r="C4" s="169">
        <v>2</v>
      </c>
      <c r="D4" s="125"/>
      <c r="E4" s="125"/>
      <c r="F4" s="125"/>
      <c r="G4" s="125"/>
      <c r="H4" s="125"/>
      <c r="I4" s="125"/>
      <c r="J4" s="125"/>
      <c r="K4" s="125"/>
    </row>
    <row r="5" spans="1:11">
      <c r="A5" s="50">
        <v>0</v>
      </c>
      <c r="B5" s="103">
        <v>0.10100000000000001</v>
      </c>
      <c r="C5" s="103">
        <v>9.9000000000000005E-2</v>
      </c>
      <c r="D5" s="125">
        <f>AVERAGE(B5:C5)</f>
        <v>0.1</v>
      </c>
      <c r="E5" s="125">
        <f>D5-$D$5</f>
        <v>0</v>
      </c>
      <c r="F5" s="125"/>
      <c r="G5" s="125"/>
      <c r="H5" s="125"/>
      <c r="I5" s="125"/>
      <c r="J5" s="125"/>
      <c r="K5" s="125"/>
    </row>
    <row r="6" spans="1:11">
      <c r="A6" s="50">
        <v>0.37</v>
      </c>
      <c r="B6" s="103">
        <v>0.153</v>
      </c>
      <c r="C6" s="103">
        <v>0.14599999999999999</v>
      </c>
      <c r="D6" s="125">
        <f>AVERAGE(B6:C6)</f>
        <v>0.14949999999999999</v>
      </c>
      <c r="E6" s="125">
        <f>D6-$D$5</f>
        <v>4.9499999999999988E-2</v>
      </c>
      <c r="F6" s="125"/>
      <c r="G6" s="125"/>
      <c r="H6" s="125"/>
      <c r="I6" s="125"/>
      <c r="J6" s="125"/>
      <c r="K6" s="125"/>
    </row>
    <row r="7" spans="1:11">
      <c r="A7" s="50">
        <v>0.56000000000000005</v>
      </c>
      <c r="B7" s="103">
        <v>0.19500000000000001</v>
      </c>
      <c r="C7" s="103">
        <v>0.193</v>
      </c>
      <c r="D7" s="125">
        <f>AVERAGE(B7:C7)</f>
        <v>0.19400000000000001</v>
      </c>
      <c r="E7" s="125">
        <f>D7-$D$5</f>
        <v>9.4E-2</v>
      </c>
      <c r="F7" s="125"/>
      <c r="G7" s="125"/>
      <c r="H7" s="125"/>
      <c r="I7" s="125"/>
      <c r="J7" s="125"/>
      <c r="K7" s="125"/>
    </row>
    <row r="8" spans="1:11">
      <c r="A8" s="50">
        <v>1.1299999999999999</v>
      </c>
      <c r="B8" s="106">
        <v>0.28999999999999998</v>
      </c>
      <c r="C8" s="106">
        <v>0.29799999999999999</v>
      </c>
      <c r="D8" s="125">
        <f>AVERAGE(B8:C8)</f>
        <v>0.29399999999999998</v>
      </c>
      <c r="E8" s="125">
        <f>D8-$D$5</f>
        <v>0.19399999999999998</v>
      </c>
      <c r="F8" s="125"/>
      <c r="G8" s="125"/>
      <c r="H8" s="125"/>
      <c r="I8" s="125"/>
      <c r="J8" s="125"/>
      <c r="K8" s="125"/>
    </row>
    <row r="9" spans="1:11">
      <c r="A9" s="50">
        <v>2.2599999999999998</v>
      </c>
      <c r="B9" s="106">
        <v>0.45900000000000002</v>
      </c>
      <c r="C9" s="106">
        <v>0.40400000000000003</v>
      </c>
      <c r="D9" s="125">
        <f>AVERAGE(B9:C9)</f>
        <v>0.43149999999999999</v>
      </c>
      <c r="E9" s="125">
        <f>D9-$D$5</f>
        <v>0.33150000000000002</v>
      </c>
      <c r="F9" s="125"/>
      <c r="G9" s="125"/>
      <c r="H9" s="125"/>
      <c r="I9" s="176" t="s">
        <v>68</v>
      </c>
      <c r="J9" s="177"/>
      <c r="K9" s="125"/>
    </row>
    <row r="10" spans="1:11">
      <c r="B10" s="51" t="s">
        <v>51</v>
      </c>
      <c r="D10" s="125"/>
      <c r="E10" s="125"/>
      <c r="F10" s="152" t="s">
        <v>84</v>
      </c>
      <c r="G10" s="152" t="s">
        <v>72</v>
      </c>
      <c r="H10" s="152" t="s">
        <v>12</v>
      </c>
      <c r="I10" s="152" t="s">
        <v>72</v>
      </c>
      <c r="J10" s="152" t="s">
        <v>12</v>
      </c>
      <c r="K10" s="125"/>
    </row>
    <row r="11" spans="1:11">
      <c r="B11" s="169">
        <v>3</v>
      </c>
      <c r="C11" s="169">
        <v>4</v>
      </c>
      <c r="D11" s="125"/>
      <c r="E11" s="125"/>
      <c r="F11" s="125"/>
      <c r="G11" s="125"/>
      <c r="H11" s="125"/>
      <c r="I11" s="125"/>
      <c r="J11" s="125"/>
      <c r="K11" s="125"/>
    </row>
    <row r="12" spans="1:11">
      <c r="B12" s="103">
        <v>0.19900000000000001</v>
      </c>
      <c r="C12" s="103">
        <v>0.25600000000000001</v>
      </c>
      <c r="D12" s="125">
        <f t="shared" ref="D12:D17" si="0">AVERAGE(B12:C12)</f>
        <v>0.22750000000000001</v>
      </c>
      <c r="E12" s="125">
        <f t="shared" ref="E12:E17" si="1">D12-$D$5</f>
        <v>0.1275</v>
      </c>
      <c r="F12" s="125">
        <f t="shared" ref="F12:F17" si="2">(E12-0.0053)/0.1487</f>
        <v>0.8217888365837257</v>
      </c>
      <c r="G12" s="111">
        <f>AVERAGE(F12:F17)</f>
        <v>1.3536202645146826</v>
      </c>
      <c r="H12" s="111">
        <f>STDEV(F12:F17)/SQRT(6)</f>
        <v>0.18936120706599041</v>
      </c>
      <c r="I12" s="137">
        <f>AVERAGE(F12:F17)</f>
        <v>1.3536202645146826</v>
      </c>
      <c r="J12" s="137">
        <f>STDEV(F12:F17)/SQRT(6)</f>
        <v>0.18936120706599041</v>
      </c>
      <c r="K12" s="125"/>
    </row>
    <row r="13" spans="1:11">
      <c r="B13" s="106">
        <v>0.36399999999999999</v>
      </c>
      <c r="C13" s="106">
        <v>0.31900000000000001</v>
      </c>
      <c r="D13" s="125">
        <f t="shared" si="0"/>
        <v>0.34150000000000003</v>
      </c>
      <c r="E13" s="125">
        <f t="shared" si="1"/>
        <v>0.24150000000000002</v>
      </c>
      <c r="F13" s="125">
        <f t="shared" si="2"/>
        <v>1.5884330867518495</v>
      </c>
      <c r="G13" s="111"/>
      <c r="H13" s="111"/>
      <c r="I13" s="137"/>
      <c r="J13" s="137"/>
      <c r="K13" s="125"/>
    </row>
    <row r="14" spans="1:11">
      <c r="B14" s="106">
        <v>0.33200000000000002</v>
      </c>
      <c r="C14" s="106">
        <v>0.30199999999999999</v>
      </c>
      <c r="D14" s="125">
        <f t="shared" si="0"/>
        <v>0.317</v>
      </c>
      <c r="E14" s="125">
        <f t="shared" si="1"/>
        <v>0.217</v>
      </c>
      <c r="F14" s="125">
        <f t="shared" si="2"/>
        <v>1.4236718224613316</v>
      </c>
      <c r="G14" s="111"/>
      <c r="H14" s="111"/>
      <c r="I14" s="137"/>
      <c r="J14" s="137"/>
      <c r="K14" s="125"/>
    </row>
    <row r="15" spans="1:11">
      <c r="B15" s="103">
        <v>0.23699999999999999</v>
      </c>
      <c r="C15" s="103">
        <v>0.25600000000000001</v>
      </c>
      <c r="D15" s="125">
        <f t="shared" si="0"/>
        <v>0.2465</v>
      </c>
      <c r="E15" s="125">
        <f t="shared" si="1"/>
        <v>0.14649999999999999</v>
      </c>
      <c r="F15" s="125">
        <f t="shared" si="2"/>
        <v>0.9495628782784129</v>
      </c>
      <c r="G15" s="111"/>
      <c r="H15" s="111"/>
      <c r="I15" s="137"/>
      <c r="J15" s="137"/>
      <c r="K15" s="125"/>
    </row>
    <row r="16" spans="1:11">
      <c r="B16" s="103">
        <v>0.253</v>
      </c>
      <c r="C16" s="106">
        <v>0.32600000000000001</v>
      </c>
      <c r="D16" s="125">
        <f t="shared" si="0"/>
        <v>0.28949999999999998</v>
      </c>
      <c r="E16" s="125">
        <f t="shared" si="1"/>
        <v>0.18949999999999997</v>
      </c>
      <c r="F16" s="125">
        <f t="shared" si="2"/>
        <v>1.2387357094821787</v>
      </c>
      <c r="G16" s="111"/>
      <c r="H16" s="111"/>
      <c r="I16" s="137"/>
      <c r="J16" s="137"/>
      <c r="K16" s="125"/>
    </row>
    <row r="17" spans="2:11">
      <c r="B17" s="106">
        <v>0.46300000000000002</v>
      </c>
      <c r="C17" s="106">
        <v>0.372</v>
      </c>
      <c r="D17" s="125">
        <f t="shared" si="0"/>
        <v>0.41749999999999998</v>
      </c>
      <c r="E17" s="125">
        <f t="shared" si="1"/>
        <v>0.3175</v>
      </c>
      <c r="F17" s="125">
        <f t="shared" si="2"/>
        <v>2.0995292535305983</v>
      </c>
      <c r="G17" s="111"/>
      <c r="H17" s="111"/>
      <c r="I17" s="137"/>
      <c r="J17" s="137"/>
      <c r="K17" s="125"/>
    </row>
    <row r="18" spans="2:11">
      <c r="B18" s="51" t="s">
        <v>52</v>
      </c>
      <c r="D18" s="125"/>
      <c r="E18" s="125"/>
      <c r="F18" s="125"/>
      <c r="G18" s="125"/>
      <c r="H18" s="125"/>
      <c r="I18" s="125"/>
      <c r="J18" s="125"/>
      <c r="K18" s="125"/>
    </row>
    <row r="19" spans="2:11">
      <c r="B19" s="169">
        <v>5</v>
      </c>
      <c r="C19" s="169">
        <v>6</v>
      </c>
      <c r="D19" s="125"/>
      <c r="E19" s="125"/>
      <c r="F19" s="125"/>
      <c r="G19" s="125"/>
      <c r="H19" s="125"/>
      <c r="I19" s="125"/>
      <c r="J19" s="125"/>
      <c r="K19" s="125"/>
    </row>
    <row r="20" spans="2:11">
      <c r="B20" s="103">
        <v>0.17100000000000001</v>
      </c>
      <c r="C20" s="103">
        <v>0.27</v>
      </c>
      <c r="D20" s="125">
        <f t="shared" ref="D20:D25" si="3">AVERAGE(B20:C20)</f>
        <v>0.22050000000000003</v>
      </c>
      <c r="E20" s="125">
        <f t="shared" ref="E20:E25" si="4">D20-$D$5</f>
        <v>0.12050000000000002</v>
      </c>
      <c r="F20" s="125">
        <f t="shared" ref="F20:F25" si="5">(E20-0.0053)/0.1487</f>
        <v>0.77471418964357786</v>
      </c>
      <c r="G20" s="111">
        <f>AVERAGE(F20:F25)</f>
        <v>0.71475005604124631</v>
      </c>
      <c r="H20" s="111">
        <f>STDEV(F20:F25)/SQRT(6)</f>
        <v>0.13691347884105085</v>
      </c>
      <c r="I20" s="137">
        <f>AVERAGE(F20:F24)</f>
        <v>0.59852051109616666</v>
      </c>
      <c r="J20" s="137">
        <f>STDEV(F20:F24)/SQRT(5)</f>
        <v>8.8622741750229786E-2</v>
      </c>
      <c r="K20" s="125"/>
    </row>
    <row r="21" spans="2:11">
      <c r="B21" s="103">
        <v>0.22900000000000001</v>
      </c>
      <c r="C21" s="103">
        <v>0.20799999999999999</v>
      </c>
      <c r="D21" s="125">
        <f t="shared" si="3"/>
        <v>0.2185</v>
      </c>
      <c r="E21" s="125">
        <f t="shared" si="4"/>
        <v>0.11849999999999999</v>
      </c>
      <c r="F21" s="125">
        <f t="shared" si="5"/>
        <v>0.76126429051782107</v>
      </c>
      <c r="G21" s="111"/>
      <c r="H21" s="111"/>
      <c r="I21" s="137"/>
      <c r="J21" s="137"/>
      <c r="K21" s="125"/>
    </row>
    <row r="22" spans="2:11">
      <c r="B22" s="103">
        <v>0.153</v>
      </c>
      <c r="C22" s="103">
        <v>0.14499999999999999</v>
      </c>
      <c r="D22" s="125">
        <f t="shared" si="3"/>
        <v>0.14899999999999999</v>
      </c>
      <c r="E22" s="125">
        <f t="shared" si="4"/>
        <v>4.8999999999999988E-2</v>
      </c>
      <c r="F22" s="125">
        <f t="shared" si="5"/>
        <v>0.2938802958977807</v>
      </c>
      <c r="G22" s="111"/>
      <c r="H22" s="111"/>
      <c r="I22" s="137"/>
      <c r="J22" s="137"/>
      <c r="K22" s="125"/>
    </row>
    <row r="23" spans="2:11">
      <c r="B23" s="103">
        <v>0.18099999999999999</v>
      </c>
      <c r="C23" s="103">
        <v>0.186</v>
      </c>
      <c r="D23" s="125">
        <f t="shared" si="3"/>
        <v>0.1835</v>
      </c>
      <c r="E23" s="125">
        <f t="shared" si="4"/>
        <v>8.3499999999999991E-2</v>
      </c>
      <c r="F23" s="125">
        <f t="shared" si="5"/>
        <v>0.52589105581708129</v>
      </c>
      <c r="G23" s="111"/>
      <c r="H23" s="111"/>
      <c r="I23" s="137"/>
      <c r="J23" s="137"/>
      <c r="K23" s="125"/>
    </row>
    <row r="24" spans="2:11">
      <c r="B24" s="103">
        <v>0.19600000000000001</v>
      </c>
      <c r="C24" s="103">
        <v>0.20399999999999999</v>
      </c>
      <c r="D24" s="125">
        <f t="shared" si="3"/>
        <v>0.2</v>
      </c>
      <c r="E24" s="125">
        <f t="shared" si="4"/>
        <v>0.1</v>
      </c>
      <c r="F24" s="125">
        <f t="shared" si="5"/>
        <v>0.63685272360457301</v>
      </c>
      <c r="G24" s="111"/>
      <c r="H24" s="111"/>
      <c r="I24" s="137"/>
      <c r="J24" s="137"/>
      <c r="K24" s="125"/>
    </row>
    <row r="25" spans="2:11">
      <c r="B25" s="106">
        <v>0.29599999999999999</v>
      </c>
      <c r="C25" s="106">
        <v>0.3</v>
      </c>
      <c r="D25" s="125">
        <f t="shared" si="3"/>
        <v>0.29799999999999999</v>
      </c>
      <c r="E25" s="125">
        <f t="shared" si="4"/>
        <v>0.19799999999999998</v>
      </c>
      <c r="F25" s="165">
        <f t="shared" si="5"/>
        <v>1.2958977807666441</v>
      </c>
      <c r="G25" s="111"/>
      <c r="H25" s="111"/>
      <c r="I25" s="137"/>
      <c r="J25" s="137"/>
      <c r="K25" s="125"/>
    </row>
    <row r="26" spans="2:11">
      <c r="B26" s="51" t="s">
        <v>53</v>
      </c>
      <c r="D26" s="125"/>
      <c r="E26" s="125"/>
      <c r="F26" s="125"/>
      <c r="G26" s="125"/>
      <c r="H26" s="125"/>
      <c r="I26" s="125"/>
      <c r="J26" s="125"/>
      <c r="K26" s="125"/>
    </row>
    <row r="27" spans="2:11">
      <c r="B27" s="169">
        <v>7</v>
      </c>
      <c r="C27" s="169">
        <v>8</v>
      </c>
      <c r="D27" s="125"/>
      <c r="E27" s="125"/>
      <c r="F27" s="125"/>
      <c r="G27" s="125"/>
      <c r="H27" s="125"/>
      <c r="I27" s="125"/>
      <c r="J27" s="125"/>
      <c r="K27" s="125"/>
    </row>
    <row r="28" spans="2:11">
      <c r="B28" s="106">
        <v>0.378</v>
      </c>
      <c r="C28" s="106">
        <v>0.40600000000000003</v>
      </c>
      <c r="D28" s="125">
        <f t="shared" ref="D28:D33" si="6">AVERAGE(B28:C28)</f>
        <v>0.39200000000000002</v>
      </c>
      <c r="E28" s="125">
        <f t="shared" ref="E28:E33" si="7">D28-$D$5</f>
        <v>0.29200000000000004</v>
      </c>
      <c r="F28" s="125">
        <f t="shared" ref="F28:F33" si="8">(E28-0.0053)/0.1487</f>
        <v>1.9280430396772026</v>
      </c>
      <c r="G28" s="111">
        <f>AVERAGE(F28:F33)</f>
        <v>2.0731898677426588</v>
      </c>
      <c r="H28" s="111">
        <f>STDEV(F28:F33)/SQRT(6)</f>
        <v>0.22538518497805504</v>
      </c>
      <c r="I28" s="137">
        <f>AVERAGE(F28:F30,F32:F33)</f>
        <v>1.870880968392737</v>
      </c>
      <c r="J28" s="137">
        <f>STDEV(F28:F30,F32:F33)/SQRT(5)</f>
        <v>0.12167327675838754</v>
      </c>
      <c r="K28" s="125"/>
    </row>
    <row r="29" spans="2:11">
      <c r="B29" s="106">
        <v>0.44</v>
      </c>
      <c r="C29" s="106">
        <v>0.34399999999999997</v>
      </c>
      <c r="D29" s="125">
        <f t="shared" si="6"/>
        <v>0.39200000000000002</v>
      </c>
      <c r="E29" s="125">
        <f t="shared" si="7"/>
        <v>0.29200000000000004</v>
      </c>
      <c r="F29" s="125">
        <f t="shared" si="8"/>
        <v>1.9280430396772026</v>
      </c>
      <c r="G29" s="111"/>
      <c r="H29" s="111"/>
      <c r="I29" s="137"/>
      <c r="J29" s="137"/>
      <c r="K29" s="125"/>
    </row>
    <row r="30" spans="2:11">
      <c r="B30" s="106">
        <v>0.36</v>
      </c>
      <c r="C30" s="103">
        <v>0.26600000000000001</v>
      </c>
      <c r="D30" s="125">
        <f t="shared" si="6"/>
        <v>0.313</v>
      </c>
      <c r="E30" s="125">
        <f t="shared" si="7"/>
        <v>0.21299999999999999</v>
      </c>
      <c r="F30" s="125">
        <f t="shared" si="8"/>
        <v>1.3967720242098185</v>
      </c>
      <c r="G30" s="111"/>
      <c r="H30" s="111"/>
      <c r="I30" s="137"/>
      <c r="J30" s="137"/>
      <c r="K30" s="125"/>
    </row>
    <row r="31" spans="2:11">
      <c r="B31" s="106">
        <v>0.60699999999999998</v>
      </c>
      <c r="C31" s="106">
        <v>0.52100000000000002</v>
      </c>
      <c r="D31" s="125">
        <f t="shared" si="6"/>
        <v>0.56400000000000006</v>
      </c>
      <c r="E31" s="125">
        <f t="shared" si="7"/>
        <v>0.46400000000000008</v>
      </c>
      <c r="F31" s="165">
        <f t="shared" si="8"/>
        <v>3.0847343644922667</v>
      </c>
      <c r="G31" s="111"/>
      <c r="H31" s="111"/>
      <c r="I31" s="137"/>
      <c r="J31" s="137"/>
      <c r="K31" s="125"/>
    </row>
    <row r="32" spans="2:11">
      <c r="B32" s="106">
        <v>0.4</v>
      </c>
      <c r="C32" s="106">
        <v>0.41899999999999998</v>
      </c>
      <c r="D32" s="125">
        <f t="shared" si="6"/>
        <v>0.40949999999999998</v>
      </c>
      <c r="E32" s="125">
        <f t="shared" si="7"/>
        <v>0.3095</v>
      </c>
      <c r="F32" s="125">
        <f t="shared" si="8"/>
        <v>2.045729657027572</v>
      </c>
      <c r="G32" s="111"/>
      <c r="H32" s="111"/>
      <c r="I32" s="137"/>
      <c r="J32" s="137"/>
      <c r="K32" s="125"/>
    </row>
    <row r="33" spans="2:11">
      <c r="B33" s="106">
        <v>0.36299999999999999</v>
      </c>
      <c r="C33" s="106">
        <v>0.45900000000000002</v>
      </c>
      <c r="D33" s="125">
        <f t="shared" si="6"/>
        <v>0.41100000000000003</v>
      </c>
      <c r="E33" s="125">
        <f t="shared" si="7"/>
        <v>0.31100000000000005</v>
      </c>
      <c r="F33" s="125">
        <f t="shared" si="8"/>
        <v>2.0558170813718899</v>
      </c>
      <c r="G33" s="111"/>
      <c r="H33" s="111"/>
      <c r="I33" s="137"/>
      <c r="J33" s="137"/>
      <c r="K33" s="125"/>
    </row>
    <row r="34" spans="2:11">
      <c r="B34" s="51" t="s">
        <v>54</v>
      </c>
      <c r="D34" s="125"/>
      <c r="E34" s="125"/>
      <c r="F34" s="125"/>
      <c r="G34" s="125"/>
      <c r="H34" s="125"/>
      <c r="I34" s="125"/>
      <c r="J34" s="125"/>
      <c r="K34" s="125"/>
    </row>
    <row r="35" spans="2:11">
      <c r="B35" s="169">
        <v>9</v>
      </c>
      <c r="C35" s="169">
        <v>10</v>
      </c>
      <c r="D35" s="125"/>
      <c r="E35" s="125"/>
      <c r="F35" s="125"/>
      <c r="G35" s="125"/>
      <c r="H35" s="125"/>
      <c r="I35" s="125"/>
      <c r="J35" s="125"/>
      <c r="K35" s="125"/>
    </row>
    <row r="36" spans="2:11">
      <c r="B36" s="106">
        <v>0.33800000000000002</v>
      </c>
      <c r="C36" s="106">
        <v>0.33800000000000002</v>
      </c>
      <c r="D36" s="125">
        <f t="shared" ref="D36:D41" si="9">AVERAGE(B36:C36)</f>
        <v>0.33800000000000002</v>
      </c>
      <c r="E36" s="125">
        <f t="shared" ref="E36:E41" si="10">D36-$D$5</f>
        <v>0.23800000000000002</v>
      </c>
      <c r="F36" s="125">
        <f t="shared" ref="F36:F41" si="11">(E36-0.0053)/0.1487</f>
        <v>1.5648957632817755</v>
      </c>
      <c r="G36" s="111">
        <f>AVERAGE(F36:F41)</f>
        <v>0.98374803855637749</v>
      </c>
      <c r="H36" s="111">
        <f>STDEV(F36:F41)/SQRT(6)</f>
        <v>0.16233573377263877</v>
      </c>
      <c r="I36" s="137">
        <f>AVERAGE(F36:F41)</f>
        <v>0.98374803855637749</v>
      </c>
      <c r="J36" s="137">
        <f>STDEV(F36:F41)/SQRT(6)</f>
        <v>0.16233573377263877</v>
      </c>
      <c r="K36" s="125"/>
    </row>
    <row r="37" spans="2:11">
      <c r="B37" s="106">
        <v>0.33500000000000002</v>
      </c>
      <c r="C37" s="106">
        <v>0.29099999999999998</v>
      </c>
      <c r="D37" s="125">
        <f t="shared" si="9"/>
        <v>0.313</v>
      </c>
      <c r="E37" s="125">
        <f t="shared" si="10"/>
        <v>0.21299999999999999</v>
      </c>
      <c r="F37" s="125">
        <f t="shared" si="11"/>
        <v>1.3967720242098185</v>
      </c>
      <c r="G37" s="111"/>
      <c r="H37" s="111"/>
      <c r="I37" s="137"/>
      <c r="J37" s="137"/>
      <c r="K37" s="125"/>
    </row>
    <row r="38" spans="2:11">
      <c r="B38" s="103">
        <v>0.21199999999999999</v>
      </c>
      <c r="C38" s="103">
        <v>0.224</v>
      </c>
      <c r="D38" s="125">
        <f t="shared" si="9"/>
        <v>0.218</v>
      </c>
      <c r="E38" s="125">
        <f t="shared" si="10"/>
        <v>0.11799999999999999</v>
      </c>
      <c r="F38" s="125">
        <f t="shared" si="11"/>
        <v>0.75790181573638193</v>
      </c>
      <c r="G38" s="111"/>
      <c r="H38" s="111"/>
      <c r="I38" s="137"/>
      <c r="J38" s="137"/>
      <c r="K38" s="125"/>
    </row>
    <row r="39" spans="2:11">
      <c r="B39" s="103">
        <v>0.20899999999999999</v>
      </c>
      <c r="C39" s="103">
        <v>0.193</v>
      </c>
      <c r="D39" s="125">
        <f t="shared" si="9"/>
        <v>0.20100000000000001</v>
      </c>
      <c r="E39" s="125">
        <f t="shared" si="10"/>
        <v>0.10100000000000001</v>
      </c>
      <c r="F39" s="125">
        <f t="shared" si="11"/>
        <v>0.64357767316745129</v>
      </c>
      <c r="G39" s="111"/>
      <c r="H39" s="111"/>
      <c r="I39" s="137"/>
      <c r="J39" s="137"/>
      <c r="K39" s="125"/>
    </row>
    <row r="40" spans="2:11">
      <c r="B40" s="103">
        <v>0.21199999999999999</v>
      </c>
      <c r="C40" s="103">
        <v>0.26</v>
      </c>
      <c r="D40" s="125">
        <f t="shared" si="9"/>
        <v>0.23599999999999999</v>
      </c>
      <c r="E40" s="125">
        <f t="shared" si="10"/>
        <v>0.13599999999999998</v>
      </c>
      <c r="F40" s="125">
        <f t="shared" si="11"/>
        <v>0.87895090786819086</v>
      </c>
      <c r="G40" s="111"/>
      <c r="H40" s="111"/>
      <c r="I40" s="137"/>
      <c r="J40" s="137"/>
      <c r="K40" s="125"/>
    </row>
    <row r="41" spans="2:11">
      <c r="B41" s="103">
        <v>0.20200000000000001</v>
      </c>
      <c r="C41" s="103">
        <v>0.20499999999999999</v>
      </c>
      <c r="D41" s="125">
        <f t="shared" si="9"/>
        <v>0.20350000000000001</v>
      </c>
      <c r="E41" s="125">
        <f t="shared" si="10"/>
        <v>0.10350000000000001</v>
      </c>
      <c r="F41" s="125">
        <f t="shared" si="11"/>
        <v>0.66039004707464699</v>
      </c>
      <c r="G41" s="111"/>
      <c r="H41" s="111"/>
      <c r="I41" s="137"/>
      <c r="J41" s="137"/>
      <c r="K41" s="125"/>
    </row>
  </sheetData>
  <mergeCells count="17">
    <mergeCell ref="G28:G33"/>
    <mergeCell ref="H28:H33"/>
    <mergeCell ref="I28:I33"/>
    <mergeCell ref="J28:J33"/>
    <mergeCell ref="G36:G41"/>
    <mergeCell ref="H36:H41"/>
    <mergeCell ref="I36:I41"/>
    <mergeCell ref="J36:J41"/>
    <mergeCell ref="I9:J9"/>
    <mergeCell ref="G12:G17"/>
    <mergeCell ref="H12:H17"/>
    <mergeCell ref="I12:I17"/>
    <mergeCell ref="J12:J17"/>
    <mergeCell ref="G20:G25"/>
    <mergeCell ref="H20:H25"/>
    <mergeCell ref="I20:I25"/>
    <mergeCell ref="J20:J2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O38"/>
  <sheetViews>
    <sheetView zoomScale="70" zoomScaleNormal="70" workbookViewId="0">
      <selection activeCell="D43" sqref="D43"/>
    </sheetView>
  </sheetViews>
  <sheetFormatPr baseColWidth="10" defaultRowHeight="15"/>
  <cols>
    <col min="1" max="1" width="12.7109375" customWidth="1"/>
    <col min="7" max="7" width="12" customWidth="1"/>
    <col min="9" max="9" width="15.5703125" customWidth="1"/>
    <col min="257" max="257" width="12.7109375" customWidth="1"/>
    <col min="263" max="263" width="12" customWidth="1"/>
    <col min="265" max="265" width="15.5703125" customWidth="1"/>
    <col min="513" max="513" width="12.7109375" customWidth="1"/>
    <col min="519" max="519" width="12" customWidth="1"/>
    <col min="521" max="521" width="15.5703125" customWidth="1"/>
    <col min="769" max="769" width="12.7109375" customWidth="1"/>
    <col min="775" max="775" width="12" customWidth="1"/>
    <col min="777" max="777" width="15.5703125" customWidth="1"/>
    <col min="1025" max="1025" width="12.7109375" customWidth="1"/>
    <col min="1031" max="1031" width="12" customWidth="1"/>
    <col min="1033" max="1033" width="15.5703125" customWidth="1"/>
    <col min="1281" max="1281" width="12.7109375" customWidth="1"/>
    <col min="1287" max="1287" width="12" customWidth="1"/>
    <col min="1289" max="1289" width="15.5703125" customWidth="1"/>
    <col min="1537" max="1537" width="12.7109375" customWidth="1"/>
    <col min="1543" max="1543" width="12" customWidth="1"/>
    <col min="1545" max="1545" width="15.5703125" customWidth="1"/>
    <col min="1793" max="1793" width="12.7109375" customWidth="1"/>
    <col min="1799" max="1799" width="12" customWidth="1"/>
    <col min="1801" max="1801" width="15.5703125" customWidth="1"/>
    <col min="2049" max="2049" width="12.7109375" customWidth="1"/>
    <col min="2055" max="2055" width="12" customWidth="1"/>
    <col min="2057" max="2057" width="15.5703125" customWidth="1"/>
    <col min="2305" max="2305" width="12.7109375" customWidth="1"/>
    <col min="2311" max="2311" width="12" customWidth="1"/>
    <col min="2313" max="2313" width="15.5703125" customWidth="1"/>
    <col min="2561" max="2561" width="12.7109375" customWidth="1"/>
    <col min="2567" max="2567" width="12" customWidth="1"/>
    <col min="2569" max="2569" width="15.5703125" customWidth="1"/>
    <col min="2817" max="2817" width="12.7109375" customWidth="1"/>
    <col min="2823" max="2823" width="12" customWidth="1"/>
    <col min="2825" max="2825" width="15.5703125" customWidth="1"/>
    <col min="3073" max="3073" width="12.7109375" customWidth="1"/>
    <col min="3079" max="3079" width="12" customWidth="1"/>
    <col min="3081" max="3081" width="15.5703125" customWidth="1"/>
    <col min="3329" max="3329" width="12.7109375" customWidth="1"/>
    <col min="3335" max="3335" width="12" customWidth="1"/>
    <col min="3337" max="3337" width="15.5703125" customWidth="1"/>
    <col min="3585" max="3585" width="12.7109375" customWidth="1"/>
    <col min="3591" max="3591" width="12" customWidth="1"/>
    <col min="3593" max="3593" width="15.5703125" customWidth="1"/>
    <col min="3841" max="3841" width="12.7109375" customWidth="1"/>
    <col min="3847" max="3847" width="12" customWidth="1"/>
    <col min="3849" max="3849" width="15.5703125" customWidth="1"/>
    <col min="4097" max="4097" width="12.7109375" customWidth="1"/>
    <col min="4103" max="4103" width="12" customWidth="1"/>
    <col min="4105" max="4105" width="15.5703125" customWidth="1"/>
    <col min="4353" max="4353" width="12.7109375" customWidth="1"/>
    <col min="4359" max="4359" width="12" customWidth="1"/>
    <col min="4361" max="4361" width="15.5703125" customWidth="1"/>
    <col min="4609" max="4609" width="12.7109375" customWidth="1"/>
    <col min="4615" max="4615" width="12" customWidth="1"/>
    <col min="4617" max="4617" width="15.5703125" customWidth="1"/>
    <col min="4865" max="4865" width="12.7109375" customWidth="1"/>
    <col min="4871" max="4871" width="12" customWidth="1"/>
    <col min="4873" max="4873" width="15.5703125" customWidth="1"/>
    <col min="5121" max="5121" width="12.7109375" customWidth="1"/>
    <col min="5127" max="5127" width="12" customWidth="1"/>
    <col min="5129" max="5129" width="15.5703125" customWidth="1"/>
    <col min="5377" max="5377" width="12.7109375" customWidth="1"/>
    <col min="5383" max="5383" width="12" customWidth="1"/>
    <col min="5385" max="5385" width="15.5703125" customWidth="1"/>
    <col min="5633" max="5633" width="12.7109375" customWidth="1"/>
    <col min="5639" max="5639" width="12" customWidth="1"/>
    <col min="5641" max="5641" width="15.5703125" customWidth="1"/>
    <col min="5889" max="5889" width="12.7109375" customWidth="1"/>
    <col min="5895" max="5895" width="12" customWidth="1"/>
    <col min="5897" max="5897" width="15.5703125" customWidth="1"/>
    <col min="6145" max="6145" width="12.7109375" customWidth="1"/>
    <col min="6151" max="6151" width="12" customWidth="1"/>
    <col min="6153" max="6153" width="15.5703125" customWidth="1"/>
    <col min="6401" max="6401" width="12.7109375" customWidth="1"/>
    <col min="6407" max="6407" width="12" customWidth="1"/>
    <col min="6409" max="6409" width="15.5703125" customWidth="1"/>
    <col min="6657" max="6657" width="12.7109375" customWidth="1"/>
    <col min="6663" max="6663" width="12" customWidth="1"/>
    <col min="6665" max="6665" width="15.5703125" customWidth="1"/>
    <col min="6913" max="6913" width="12.7109375" customWidth="1"/>
    <col min="6919" max="6919" width="12" customWidth="1"/>
    <col min="6921" max="6921" width="15.5703125" customWidth="1"/>
    <col min="7169" max="7169" width="12.7109375" customWidth="1"/>
    <col min="7175" max="7175" width="12" customWidth="1"/>
    <col min="7177" max="7177" width="15.5703125" customWidth="1"/>
    <col min="7425" max="7425" width="12.7109375" customWidth="1"/>
    <col min="7431" max="7431" width="12" customWidth="1"/>
    <col min="7433" max="7433" width="15.5703125" customWidth="1"/>
    <col min="7681" max="7681" width="12.7109375" customWidth="1"/>
    <col min="7687" max="7687" width="12" customWidth="1"/>
    <col min="7689" max="7689" width="15.5703125" customWidth="1"/>
    <col min="7937" max="7937" width="12.7109375" customWidth="1"/>
    <col min="7943" max="7943" width="12" customWidth="1"/>
    <col min="7945" max="7945" width="15.5703125" customWidth="1"/>
    <col min="8193" max="8193" width="12.7109375" customWidth="1"/>
    <col min="8199" max="8199" width="12" customWidth="1"/>
    <col min="8201" max="8201" width="15.5703125" customWidth="1"/>
    <col min="8449" max="8449" width="12.7109375" customWidth="1"/>
    <col min="8455" max="8455" width="12" customWidth="1"/>
    <col min="8457" max="8457" width="15.5703125" customWidth="1"/>
    <col min="8705" max="8705" width="12.7109375" customWidth="1"/>
    <col min="8711" max="8711" width="12" customWidth="1"/>
    <col min="8713" max="8713" width="15.5703125" customWidth="1"/>
    <col min="8961" max="8961" width="12.7109375" customWidth="1"/>
    <col min="8967" max="8967" width="12" customWidth="1"/>
    <col min="8969" max="8969" width="15.5703125" customWidth="1"/>
    <col min="9217" max="9217" width="12.7109375" customWidth="1"/>
    <col min="9223" max="9223" width="12" customWidth="1"/>
    <col min="9225" max="9225" width="15.5703125" customWidth="1"/>
    <col min="9473" max="9473" width="12.7109375" customWidth="1"/>
    <col min="9479" max="9479" width="12" customWidth="1"/>
    <col min="9481" max="9481" width="15.5703125" customWidth="1"/>
    <col min="9729" max="9729" width="12.7109375" customWidth="1"/>
    <col min="9735" max="9735" width="12" customWidth="1"/>
    <col min="9737" max="9737" width="15.5703125" customWidth="1"/>
    <col min="9985" max="9985" width="12.7109375" customWidth="1"/>
    <col min="9991" max="9991" width="12" customWidth="1"/>
    <col min="9993" max="9993" width="15.5703125" customWidth="1"/>
    <col min="10241" max="10241" width="12.7109375" customWidth="1"/>
    <col min="10247" max="10247" width="12" customWidth="1"/>
    <col min="10249" max="10249" width="15.5703125" customWidth="1"/>
    <col min="10497" max="10497" width="12.7109375" customWidth="1"/>
    <col min="10503" max="10503" width="12" customWidth="1"/>
    <col min="10505" max="10505" width="15.5703125" customWidth="1"/>
    <col min="10753" max="10753" width="12.7109375" customWidth="1"/>
    <col min="10759" max="10759" width="12" customWidth="1"/>
    <col min="10761" max="10761" width="15.5703125" customWidth="1"/>
    <col min="11009" max="11009" width="12.7109375" customWidth="1"/>
    <col min="11015" max="11015" width="12" customWidth="1"/>
    <col min="11017" max="11017" width="15.5703125" customWidth="1"/>
    <col min="11265" max="11265" width="12.7109375" customWidth="1"/>
    <col min="11271" max="11271" width="12" customWidth="1"/>
    <col min="11273" max="11273" width="15.5703125" customWidth="1"/>
    <col min="11521" max="11521" width="12.7109375" customWidth="1"/>
    <col min="11527" max="11527" width="12" customWidth="1"/>
    <col min="11529" max="11529" width="15.5703125" customWidth="1"/>
    <col min="11777" max="11777" width="12.7109375" customWidth="1"/>
    <col min="11783" max="11783" width="12" customWidth="1"/>
    <col min="11785" max="11785" width="15.5703125" customWidth="1"/>
    <col min="12033" max="12033" width="12.7109375" customWidth="1"/>
    <col min="12039" max="12039" width="12" customWidth="1"/>
    <col min="12041" max="12041" width="15.5703125" customWidth="1"/>
    <col min="12289" max="12289" width="12.7109375" customWidth="1"/>
    <col min="12295" max="12295" width="12" customWidth="1"/>
    <col min="12297" max="12297" width="15.5703125" customWidth="1"/>
    <col min="12545" max="12545" width="12.7109375" customWidth="1"/>
    <col min="12551" max="12551" width="12" customWidth="1"/>
    <col min="12553" max="12553" width="15.5703125" customWidth="1"/>
    <col min="12801" max="12801" width="12.7109375" customWidth="1"/>
    <col min="12807" max="12807" width="12" customWidth="1"/>
    <col min="12809" max="12809" width="15.5703125" customWidth="1"/>
    <col min="13057" max="13057" width="12.7109375" customWidth="1"/>
    <col min="13063" max="13063" width="12" customWidth="1"/>
    <col min="13065" max="13065" width="15.5703125" customWidth="1"/>
    <col min="13313" max="13313" width="12.7109375" customWidth="1"/>
    <col min="13319" max="13319" width="12" customWidth="1"/>
    <col min="13321" max="13321" width="15.5703125" customWidth="1"/>
    <col min="13569" max="13569" width="12.7109375" customWidth="1"/>
    <col min="13575" max="13575" width="12" customWidth="1"/>
    <col min="13577" max="13577" width="15.5703125" customWidth="1"/>
    <col min="13825" max="13825" width="12.7109375" customWidth="1"/>
    <col min="13831" max="13831" width="12" customWidth="1"/>
    <col min="13833" max="13833" width="15.5703125" customWidth="1"/>
    <col min="14081" max="14081" width="12.7109375" customWidth="1"/>
    <col min="14087" max="14087" width="12" customWidth="1"/>
    <col min="14089" max="14089" width="15.5703125" customWidth="1"/>
    <col min="14337" max="14337" width="12.7109375" customWidth="1"/>
    <col min="14343" max="14343" width="12" customWidth="1"/>
    <col min="14345" max="14345" width="15.5703125" customWidth="1"/>
    <col min="14593" max="14593" width="12.7109375" customWidth="1"/>
    <col min="14599" max="14599" width="12" customWidth="1"/>
    <col min="14601" max="14601" width="15.5703125" customWidth="1"/>
    <col min="14849" max="14849" width="12.7109375" customWidth="1"/>
    <col min="14855" max="14855" width="12" customWidth="1"/>
    <col min="14857" max="14857" width="15.5703125" customWidth="1"/>
    <col min="15105" max="15105" width="12.7109375" customWidth="1"/>
    <col min="15111" max="15111" width="12" customWidth="1"/>
    <col min="15113" max="15113" width="15.5703125" customWidth="1"/>
    <col min="15361" max="15361" width="12.7109375" customWidth="1"/>
    <col min="15367" max="15367" width="12" customWidth="1"/>
    <col min="15369" max="15369" width="15.5703125" customWidth="1"/>
    <col min="15617" max="15617" width="12.7109375" customWidth="1"/>
    <col min="15623" max="15623" width="12" customWidth="1"/>
    <col min="15625" max="15625" width="15.5703125" customWidth="1"/>
    <col min="15873" max="15873" width="12.7109375" customWidth="1"/>
    <col min="15879" max="15879" width="12" customWidth="1"/>
    <col min="15881" max="15881" width="15.5703125" customWidth="1"/>
    <col min="16129" max="16129" width="12.7109375" customWidth="1"/>
    <col min="16135" max="16135" width="12" customWidth="1"/>
    <col min="16137" max="16137" width="15.5703125" customWidth="1"/>
  </cols>
  <sheetData>
    <row r="2" spans="1:15">
      <c r="A2" s="1" t="s">
        <v>0</v>
      </c>
      <c r="B2" s="1"/>
      <c r="C2" s="1"/>
      <c r="D2" s="1"/>
      <c r="E2" s="1"/>
      <c r="F2" s="1"/>
      <c r="G2" s="1"/>
      <c r="H2" s="1"/>
      <c r="I2" s="1"/>
      <c r="J2" s="2"/>
    </row>
    <row r="3" spans="1:15" ht="30">
      <c r="A3" s="3" t="s">
        <v>1</v>
      </c>
      <c r="B3" s="4" t="s">
        <v>2</v>
      </c>
      <c r="C3" s="4"/>
      <c r="D3" s="3" t="s">
        <v>3</v>
      </c>
      <c r="E3" s="1" t="s">
        <v>4</v>
      </c>
      <c r="F3" s="1"/>
      <c r="G3" s="3" t="s">
        <v>5</v>
      </c>
      <c r="H3" s="3" t="s">
        <v>6</v>
      </c>
      <c r="I3" s="3" t="s">
        <v>7</v>
      </c>
      <c r="J3" s="2"/>
    </row>
    <row r="4" spans="1:15">
      <c r="A4" s="5">
        <v>0</v>
      </c>
      <c r="B4" s="6">
        <v>3.5000000000000003E-2</v>
      </c>
      <c r="C4" s="6">
        <v>3.5000000000000003E-2</v>
      </c>
      <c r="D4" s="7">
        <f t="shared" ref="D4:D9" si="0">AVERAGE(B4:C4)</f>
        <v>3.5000000000000003E-2</v>
      </c>
      <c r="E4" s="6">
        <v>6.6000000000000003E-2</v>
      </c>
      <c r="F4" s="6">
        <v>6.6000000000000003E-2</v>
      </c>
      <c r="G4" s="7">
        <f t="shared" ref="G4:G9" si="1">AVERAGE(E4:F4)</f>
        <v>6.6000000000000003E-2</v>
      </c>
      <c r="H4" s="7">
        <f t="shared" ref="H4:H9" si="2">G4-D4</f>
        <v>3.1E-2</v>
      </c>
      <c r="I4" s="7">
        <f t="shared" ref="I4:I9" si="3">H4-$H$4</f>
        <v>0</v>
      </c>
    </row>
    <row r="5" spans="1:15">
      <c r="A5" s="5">
        <v>0.06</v>
      </c>
      <c r="B5" s="6">
        <v>3.5000000000000003E-2</v>
      </c>
      <c r="C5" s="6">
        <v>3.5000000000000003E-2</v>
      </c>
      <c r="D5" s="7">
        <f t="shared" si="0"/>
        <v>3.5000000000000003E-2</v>
      </c>
      <c r="E5" s="6">
        <v>7.0000000000000007E-2</v>
      </c>
      <c r="F5" s="8">
        <v>7.2999999999999995E-2</v>
      </c>
      <c r="G5" s="7">
        <f t="shared" si="1"/>
        <v>7.1500000000000008E-2</v>
      </c>
      <c r="H5" s="7">
        <f t="shared" si="2"/>
        <v>3.6500000000000005E-2</v>
      </c>
      <c r="I5" s="7">
        <f t="shared" si="3"/>
        <v>5.5000000000000049E-3</v>
      </c>
    </row>
    <row r="6" spans="1:15">
      <c r="A6" s="5">
        <v>0.125</v>
      </c>
      <c r="B6" s="6">
        <v>3.6999999999999998E-2</v>
      </c>
      <c r="C6" s="6">
        <v>3.5999999999999997E-2</v>
      </c>
      <c r="D6" s="7">
        <f t="shared" si="0"/>
        <v>3.6499999999999998E-2</v>
      </c>
      <c r="E6" s="8">
        <v>8.8999999999999996E-2</v>
      </c>
      <c r="F6" s="8">
        <v>8.5999999999999993E-2</v>
      </c>
      <c r="G6" s="7">
        <f t="shared" si="1"/>
        <v>8.7499999999999994E-2</v>
      </c>
      <c r="H6" s="7">
        <f t="shared" si="2"/>
        <v>5.0999999999999997E-2</v>
      </c>
      <c r="I6" s="7">
        <f t="shared" si="3"/>
        <v>1.9999999999999997E-2</v>
      </c>
    </row>
    <row r="7" spans="1:15">
      <c r="A7" s="5">
        <v>0.25</v>
      </c>
      <c r="B7" s="6">
        <v>3.9E-2</v>
      </c>
      <c r="C7" s="6">
        <v>3.6999999999999998E-2</v>
      </c>
      <c r="D7" s="7">
        <f t="shared" si="0"/>
        <v>3.7999999999999999E-2</v>
      </c>
      <c r="E7" s="8">
        <v>0.108</v>
      </c>
      <c r="F7" s="8">
        <v>0.108</v>
      </c>
      <c r="G7" s="7">
        <f t="shared" si="1"/>
        <v>0.108</v>
      </c>
      <c r="H7" s="7">
        <f t="shared" si="2"/>
        <v>7.0000000000000007E-2</v>
      </c>
      <c r="I7" s="7">
        <f t="shared" si="3"/>
        <v>3.9000000000000007E-2</v>
      </c>
    </row>
    <row r="8" spans="1:15">
      <c r="A8" s="5">
        <v>0.5</v>
      </c>
      <c r="B8" s="6">
        <v>3.9E-2</v>
      </c>
      <c r="C8" s="6">
        <v>3.7999999999999999E-2</v>
      </c>
      <c r="D8" s="7">
        <f t="shared" si="0"/>
        <v>3.85E-2</v>
      </c>
      <c r="E8" s="8">
        <v>0.14599999999999999</v>
      </c>
      <c r="F8" s="8">
        <v>0.14699999999999999</v>
      </c>
      <c r="G8" s="7">
        <f t="shared" si="1"/>
        <v>0.14649999999999999</v>
      </c>
      <c r="H8" s="7">
        <f t="shared" si="2"/>
        <v>0.10799999999999998</v>
      </c>
      <c r="I8" s="7">
        <f t="shared" si="3"/>
        <v>7.6999999999999985E-2</v>
      </c>
    </row>
    <row r="9" spans="1:15">
      <c r="A9" s="5">
        <v>1</v>
      </c>
      <c r="B9" s="8">
        <v>5.7000000000000002E-2</v>
      </c>
      <c r="C9" s="8">
        <v>0.06</v>
      </c>
      <c r="D9" s="7">
        <f t="shared" si="0"/>
        <v>5.8499999999999996E-2</v>
      </c>
      <c r="E9" s="9">
        <v>0.246</v>
      </c>
      <c r="F9" s="9">
        <v>0.27300000000000002</v>
      </c>
      <c r="G9" s="7">
        <f t="shared" si="1"/>
        <v>0.25950000000000001</v>
      </c>
      <c r="H9" s="7">
        <f t="shared" si="2"/>
        <v>0.20100000000000001</v>
      </c>
      <c r="I9" s="7">
        <f t="shared" si="3"/>
        <v>0.17</v>
      </c>
    </row>
    <row r="11" spans="1:15">
      <c r="N11" s="10" t="s">
        <v>8</v>
      </c>
      <c r="O11" s="10"/>
    </row>
    <row r="12" spans="1:15" ht="30">
      <c r="A12" s="11" t="s">
        <v>9</v>
      </c>
      <c r="C12" s="12" t="s">
        <v>2</v>
      </c>
      <c r="D12" s="12"/>
      <c r="E12" s="3" t="s">
        <v>3</v>
      </c>
      <c r="F12" s="1" t="s">
        <v>4</v>
      </c>
      <c r="G12" s="1"/>
      <c r="H12" s="3" t="s">
        <v>5</v>
      </c>
      <c r="I12" s="3" t="s">
        <v>6</v>
      </c>
      <c r="J12" s="3" t="s">
        <v>7</v>
      </c>
      <c r="K12" s="3" t="s">
        <v>10</v>
      </c>
      <c r="L12" s="3" t="s">
        <v>11</v>
      </c>
      <c r="M12" s="3" t="s">
        <v>12</v>
      </c>
      <c r="N12" s="13" t="s">
        <v>11</v>
      </c>
      <c r="O12" s="13" t="s">
        <v>12</v>
      </c>
    </row>
    <row r="13" spans="1:15">
      <c r="A13" s="14" t="s">
        <v>13</v>
      </c>
      <c r="B13" s="15">
        <v>1</v>
      </c>
      <c r="C13" s="8">
        <v>4.4999999999999998E-2</v>
      </c>
      <c r="D13" s="6">
        <v>4.2999999999999997E-2</v>
      </c>
      <c r="E13" s="16">
        <f>AVERAGE(C13:D13)</f>
        <v>4.3999999999999997E-2</v>
      </c>
      <c r="F13" s="8">
        <v>0.107</v>
      </c>
      <c r="G13" s="8">
        <v>9.9000000000000005E-2</v>
      </c>
      <c r="H13" s="16">
        <f>AVERAGE(F13:G13)</f>
        <v>0.10300000000000001</v>
      </c>
      <c r="I13" s="16">
        <f>H13-E13</f>
        <v>5.9000000000000011E-2</v>
      </c>
      <c r="J13" s="7">
        <f>I13-$H$4</f>
        <v>2.8000000000000011E-2</v>
      </c>
      <c r="K13" s="17">
        <f>(J13+0.0031)/0.1704</f>
        <v>0.18251173708920193</v>
      </c>
      <c r="L13" s="18">
        <f>AVERAGE(K13:K18)</f>
        <v>0.34145148669796566</v>
      </c>
      <c r="M13" s="18">
        <f>STDEV(K13:K18)/SQRT(6)</f>
        <v>6.7723516057517461E-2</v>
      </c>
      <c r="N13" s="18">
        <f>AVERAGE(K13:K17)</f>
        <v>0.28755868544600943</v>
      </c>
      <c r="O13" s="18">
        <f>STDEV(K13:K17)/SQRT(5)</f>
        <v>5.0230079639743325E-2</v>
      </c>
    </row>
    <row r="14" spans="1:15">
      <c r="A14" s="14"/>
      <c r="B14" s="5">
        <v>2</v>
      </c>
      <c r="C14" s="8">
        <v>4.5999999999999999E-2</v>
      </c>
      <c r="D14" s="8">
        <v>4.5999999999999999E-2</v>
      </c>
      <c r="E14" s="16">
        <f t="shared" ref="E14:E36" si="4">AVERAGE(C14:D14)</f>
        <v>4.5999999999999999E-2</v>
      </c>
      <c r="F14" s="8">
        <v>0.13400000000000001</v>
      </c>
      <c r="G14" s="8">
        <v>0.13</v>
      </c>
      <c r="H14" s="16">
        <f t="shared" ref="H14:H36" si="5">AVERAGE(F14:G14)</f>
        <v>0.13200000000000001</v>
      </c>
      <c r="I14" s="16">
        <f t="shared" ref="I14:I36" si="6">H14-E14</f>
        <v>8.6000000000000007E-2</v>
      </c>
      <c r="J14" s="7">
        <f t="shared" ref="J14:J36" si="7">I14-$H$4</f>
        <v>5.5000000000000007E-2</v>
      </c>
      <c r="K14" s="17">
        <f t="shared" ref="K14:K36" si="8">(J14+0.0031)/0.1704</f>
        <v>0.34096244131455405</v>
      </c>
      <c r="L14" s="18"/>
      <c r="M14" s="18"/>
      <c r="N14" s="18"/>
      <c r="O14" s="18"/>
    </row>
    <row r="15" spans="1:15">
      <c r="A15" s="14"/>
      <c r="B15" s="5">
        <v>3</v>
      </c>
      <c r="C15" s="8">
        <v>4.9000000000000002E-2</v>
      </c>
      <c r="D15" s="8">
        <v>4.7E-2</v>
      </c>
      <c r="E15" s="16">
        <f t="shared" si="4"/>
        <v>4.8000000000000001E-2</v>
      </c>
      <c r="F15" s="8">
        <v>0.157</v>
      </c>
      <c r="G15" s="8">
        <v>0.14499999999999999</v>
      </c>
      <c r="H15" s="16">
        <f t="shared" si="5"/>
        <v>0.151</v>
      </c>
      <c r="I15" s="16">
        <f t="shared" si="6"/>
        <v>0.10299999999999999</v>
      </c>
      <c r="J15" s="7">
        <f t="shared" si="7"/>
        <v>7.1999999999999995E-2</v>
      </c>
      <c r="K15" s="17">
        <f t="shared" si="8"/>
        <v>0.44072769953051644</v>
      </c>
      <c r="L15" s="18"/>
      <c r="M15" s="18"/>
      <c r="N15" s="18"/>
      <c r="O15" s="18"/>
    </row>
    <row r="16" spans="1:15">
      <c r="A16" s="14"/>
      <c r="B16" s="5">
        <v>4</v>
      </c>
      <c r="C16" s="8">
        <v>5.0999999999999997E-2</v>
      </c>
      <c r="D16" s="8">
        <v>5.3999999999999999E-2</v>
      </c>
      <c r="E16" s="16">
        <f t="shared" si="4"/>
        <v>5.2499999999999998E-2</v>
      </c>
      <c r="F16" s="8">
        <v>0.13800000000000001</v>
      </c>
      <c r="G16" s="8">
        <v>0.125</v>
      </c>
      <c r="H16" s="16">
        <f t="shared" si="5"/>
        <v>0.13150000000000001</v>
      </c>
      <c r="I16" s="16">
        <f t="shared" si="6"/>
        <v>7.9000000000000015E-2</v>
      </c>
      <c r="J16" s="7">
        <f t="shared" si="7"/>
        <v>4.8000000000000015E-2</v>
      </c>
      <c r="K16" s="17">
        <f t="shared" si="8"/>
        <v>0.2998826291079813</v>
      </c>
      <c r="L16" s="18"/>
      <c r="M16" s="18"/>
      <c r="N16" s="18"/>
      <c r="O16" s="18"/>
    </row>
    <row r="17" spans="1:15">
      <c r="A17" s="14"/>
      <c r="B17" s="5">
        <v>5</v>
      </c>
      <c r="C17" s="8">
        <v>0.05</v>
      </c>
      <c r="D17" s="8">
        <v>5.0999999999999997E-2</v>
      </c>
      <c r="E17" s="16">
        <f t="shared" si="4"/>
        <v>5.0500000000000003E-2</v>
      </c>
      <c r="F17" s="8">
        <v>0.108</v>
      </c>
      <c r="G17" s="8">
        <v>0.108</v>
      </c>
      <c r="H17" s="16">
        <f t="shared" si="5"/>
        <v>0.108</v>
      </c>
      <c r="I17" s="16">
        <f t="shared" si="6"/>
        <v>5.7499999999999996E-2</v>
      </c>
      <c r="J17" s="7">
        <f t="shared" si="7"/>
        <v>2.6499999999999996E-2</v>
      </c>
      <c r="K17" s="17">
        <f t="shared" si="8"/>
        <v>0.17370892018779341</v>
      </c>
      <c r="L17" s="18"/>
      <c r="M17" s="18"/>
      <c r="N17" s="18"/>
      <c r="O17" s="18"/>
    </row>
    <row r="18" spans="1:15">
      <c r="A18" s="14"/>
      <c r="B18" s="5">
        <v>6</v>
      </c>
      <c r="C18" s="8">
        <v>7.5999999999999998E-2</v>
      </c>
      <c r="D18" s="8">
        <v>7.9000000000000001E-2</v>
      </c>
      <c r="E18" s="16">
        <f t="shared" si="4"/>
        <v>7.7499999999999999E-2</v>
      </c>
      <c r="F18" s="8">
        <v>0.18</v>
      </c>
      <c r="G18" s="9">
        <v>0.23899999999999999</v>
      </c>
      <c r="H18" s="16">
        <f t="shared" si="5"/>
        <v>0.20949999999999999</v>
      </c>
      <c r="I18" s="16">
        <f t="shared" si="6"/>
        <v>0.13200000000000001</v>
      </c>
      <c r="J18" s="7">
        <f t="shared" si="7"/>
        <v>0.10100000000000001</v>
      </c>
      <c r="K18" s="19">
        <f t="shared" si="8"/>
        <v>0.61091549295774661</v>
      </c>
      <c r="L18" s="18"/>
      <c r="M18" s="18"/>
      <c r="N18" s="18"/>
      <c r="O18" s="18"/>
    </row>
    <row r="19" spans="1:15">
      <c r="A19" s="14" t="s">
        <v>14</v>
      </c>
      <c r="B19" s="5">
        <v>7</v>
      </c>
      <c r="C19" s="8">
        <v>5.1999999999999998E-2</v>
      </c>
      <c r="D19" s="8">
        <v>5.0999999999999997E-2</v>
      </c>
      <c r="E19" s="16">
        <f t="shared" si="4"/>
        <v>5.1499999999999997E-2</v>
      </c>
      <c r="F19" s="8">
        <v>0.13</v>
      </c>
      <c r="G19" s="8">
        <v>0.13200000000000001</v>
      </c>
      <c r="H19" s="16">
        <f t="shared" si="5"/>
        <v>0.13100000000000001</v>
      </c>
      <c r="I19" s="16">
        <f t="shared" si="6"/>
        <v>7.9500000000000015E-2</v>
      </c>
      <c r="J19" s="7">
        <f t="shared" si="7"/>
        <v>4.8500000000000015E-2</v>
      </c>
      <c r="K19" s="17">
        <f t="shared" si="8"/>
        <v>0.3028169014084508</v>
      </c>
      <c r="L19" s="18">
        <f>AVERAGE(K19:K24)</f>
        <v>0.37568466353677632</v>
      </c>
      <c r="M19" s="18">
        <f>STDEV(K19:K24)/SQRT(6)</f>
        <v>4.1089708361622616E-2</v>
      </c>
      <c r="N19" s="20"/>
      <c r="O19" s="20"/>
    </row>
    <row r="20" spans="1:15">
      <c r="A20" s="14"/>
      <c r="B20" s="5">
        <v>8</v>
      </c>
      <c r="C20" s="8">
        <v>0.06</v>
      </c>
      <c r="D20" s="8">
        <v>6.0999999999999999E-2</v>
      </c>
      <c r="E20" s="16">
        <f t="shared" si="4"/>
        <v>6.0499999999999998E-2</v>
      </c>
      <c r="F20" s="8">
        <v>0.14699999999999999</v>
      </c>
      <c r="G20" s="8">
        <v>0.14799999999999999</v>
      </c>
      <c r="H20" s="16">
        <f t="shared" si="5"/>
        <v>0.14749999999999999</v>
      </c>
      <c r="I20" s="16">
        <f t="shared" si="6"/>
        <v>8.6999999999999994E-2</v>
      </c>
      <c r="J20" s="7">
        <f t="shared" si="7"/>
        <v>5.5999999999999994E-2</v>
      </c>
      <c r="K20" s="17">
        <f t="shared" si="8"/>
        <v>0.34683098591549294</v>
      </c>
      <c r="L20" s="18"/>
      <c r="M20" s="18"/>
      <c r="N20" s="20"/>
      <c r="O20" s="20"/>
    </row>
    <row r="21" spans="1:15">
      <c r="A21" s="14"/>
      <c r="B21" s="5">
        <v>9</v>
      </c>
      <c r="C21" s="8">
        <v>5.2999999999999999E-2</v>
      </c>
      <c r="D21" s="8">
        <v>5.1999999999999998E-2</v>
      </c>
      <c r="E21" s="16">
        <f t="shared" si="4"/>
        <v>5.2499999999999998E-2</v>
      </c>
      <c r="F21" s="8">
        <v>0.151</v>
      </c>
      <c r="G21" s="8">
        <v>0.13800000000000001</v>
      </c>
      <c r="H21" s="16">
        <f t="shared" si="5"/>
        <v>0.14450000000000002</v>
      </c>
      <c r="I21" s="16">
        <f t="shared" si="6"/>
        <v>9.2000000000000026E-2</v>
      </c>
      <c r="J21" s="7">
        <f t="shared" si="7"/>
        <v>6.1000000000000026E-2</v>
      </c>
      <c r="K21" s="17">
        <f t="shared" si="8"/>
        <v>0.37617370892018798</v>
      </c>
      <c r="L21" s="18"/>
      <c r="M21" s="18"/>
      <c r="N21" s="20"/>
      <c r="O21" s="20"/>
    </row>
    <row r="22" spans="1:15">
      <c r="A22" s="14"/>
      <c r="B22" s="5">
        <v>10</v>
      </c>
      <c r="C22" s="8">
        <v>4.3999999999999997E-2</v>
      </c>
      <c r="D22" s="8">
        <v>4.4999999999999998E-2</v>
      </c>
      <c r="E22" s="16">
        <f t="shared" si="4"/>
        <v>4.4499999999999998E-2</v>
      </c>
      <c r="F22" s="8">
        <v>0.15</v>
      </c>
      <c r="G22" s="8">
        <v>0.16500000000000001</v>
      </c>
      <c r="H22" s="16">
        <f t="shared" si="5"/>
        <v>0.1575</v>
      </c>
      <c r="I22" s="16">
        <f t="shared" si="6"/>
        <v>0.113</v>
      </c>
      <c r="J22" s="7">
        <f t="shared" si="7"/>
        <v>8.2000000000000003E-2</v>
      </c>
      <c r="K22" s="17">
        <f t="shared" si="8"/>
        <v>0.49941314553990618</v>
      </c>
      <c r="L22" s="18"/>
      <c r="M22" s="18"/>
      <c r="N22" s="20"/>
      <c r="O22" s="20"/>
    </row>
    <row r="23" spans="1:15">
      <c r="A23" s="14"/>
      <c r="B23" s="5">
        <v>11</v>
      </c>
      <c r="C23" s="8">
        <v>5.0999999999999997E-2</v>
      </c>
      <c r="D23" s="8">
        <v>4.7E-2</v>
      </c>
      <c r="E23" s="16">
        <f t="shared" si="4"/>
        <v>4.9000000000000002E-2</v>
      </c>
      <c r="F23" s="8">
        <v>0.185</v>
      </c>
      <c r="G23" s="8">
        <v>0.13400000000000001</v>
      </c>
      <c r="H23" s="16">
        <f t="shared" si="5"/>
        <v>0.1595</v>
      </c>
      <c r="I23" s="16">
        <f t="shared" si="6"/>
        <v>0.1105</v>
      </c>
      <c r="J23" s="7">
        <f t="shared" si="7"/>
        <v>7.9500000000000001E-2</v>
      </c>
      <c r="K23" s="17">
        <f t="shared" si="8"/>
        <v>0.48474178403755874</v>
      </c>
      <c r="L23" s="18"/>
      <c r="M23" s="18"/>
      <c r="N23" s="20"/>
      <c r="O23" s="20"/>
    </row>
    <row r="24" spans="1:15">
      <c r="A24" s="14"/>
      <c r="B24" s="5">
        <v>12</v>
      </c>
      <c r="C24" s="8">
        <v>0.08</v>
      </c>
      <c r="D24" s="8">
        <v>0.08</v>
      </c>
      <c r="E24" s="16">
        <f t="shared" si="4"/>
        <v>0.08</v>
      </c>
      <c r="F24" s="8">
        <v>0.15</v>
      </c>
      <c r="G24" s="8">
        <v>0.14899999999999999</v>
      </c>
      <c r="H24" s="16">
        <f t="shared" si="5"/>
        <v>0.14949999999999999</v>
      </c>
      <c r="I24" s="16">
        <f t="shared" si="6"/>
        <v>6.9499999999999992E-2</v>
      </c>
      <c r="J24" s="7">
        <f t="shared" si="7"/>
        <v>3.8499999999999993E-2</v>
      </c>
      <c r="K24" s="17">
        <f t="shared" si="8"/>
        <v>0.24413145539906098</v>
      </c>
      <c r="L24" s="18"/>
      <c r="M24" s="18"/>
      <c r="N24" s="20"/>
      <c r="O24" s="20"/>
    </row>
    <row r="25" spans="1:15">
      <c r="A25" s="14" t="s">
        <v>15</v>
      </c>
      <c r="B25" s="5">
        <v>13</v>
      </c>
      <c r="C25" s="9">
        <v>0.10100000000000001</v>
      </c>
      <c r="D25" s="9">
        <v>0.10100000000000001</v>
      </c>
      <c r="E25" s="16">
        <f t="shared" si="4"/>
        <v>0.10100000000000001</v>
      </c>
      <c r="F25" s="9">
        <v>0.29099999999999998</v>
      </c>
      <c r="G25" s="9">
        <v>0.28599999999999998</v>
      </c>
      <c r="H25" s="16">
        <f t="shared" si="5"/>
        <v>0.28849999999999998</v>
      </c>
      <c r="I25" s="16">
        <f t="shared" si="6"/>
        <v>0.18749999999999997</v>
      </c>
      <c r="J25" s="7">
        <f t="shared" si="7"/>
        <v>0.15649999999999997</v>
      </c>
      <c r="K25" s="19">
        <f t="shared" si="8"/>
        <v>0.93661971830985902</v>
      </c>
      <c r="L25" s="18">
        <f>AVERAGE(K25:K30)</f>
        <v>0.49158841940532089</v>
      </c>
      <c r="M25" s="18">
        <f>STDEV(K25:K30)/SQRT(6)</f>
        <v>0.10326433853247652</v>
      </c>
      <c r="N25" s="18">
        <f>AVERAGE(K26:K30)</f>
        <v>0.40258215962441318</v>
      </c>
      <c r="O25" s="18">
        <f>STDEV(K26:K30)/SQRT(5)</f>
        <v>6.4125767040599746E-2</v>
      </c>
    </row>
    <row r="26" spans="1:15">
      <c r="A26" s="14"/>
      <c r="B26" s="5">
        <v>14</v>
      </c>
      <c r="C26" s="8">
        <v>6.5000000000000002E-2</v>
      </c>
      <c r="D26" s="8">
        <v>6.2E-2</v>
      </c>
      <c r="E26" s="16">
        <f t="shared" si="4"/>
        <v>6.3500000000000001E-2</v>
      </c>
      <c r="F26" s="8">
        <v>0.13200000000000001</v>
      </c>
      <c r="G26" s="8">
        <v>0.125</v>
      </c>
      <c r="H26" s="16">
        <f t="shared" si="5"/>
        <v>0.1285</v>
      </c>
      <c r="I26" s="16">
        <f t="shared" si="6"/>
        <v>6.5000000000000002E-2</v>
      </c>
      <c r="J26" s="7">
        <f t="shared" si="7"/>
        <v>3.4000000000000002E-2</v>
      </c>
      <c r="K26" s="17">
        <f t="shared" si="8"/>
        <v>0.21772300469483569</v>
      </c>
      <c r="L26" s="18"/>
      <c r="M26" s="18"/>
      <c r="N26" s="18"/>
      <c r="O26" s="18"/>
    </row>
    <row r="27" spans="1:15">
      <c r="A27" s="14"/>
      <c r="B27" s="5">
        <v>15</v>
      </c>
      <c r="C27" s="8">
        <v>5.7000000000000002E-2</v>
      </c>
      <c r="D27" s="8">
        <v>0.05</v>
      </c>
      <c r="E27" s="16">
        <f t="shared" si="4"/>
        <v>5.3500000000000006E-2</v>
      </c>
      <c r="F27" s="8">
        <v>0.19800000000000001</v>
      </c>
      <c r="G27" s="8">
        <v>0.13900000000000001</v>
      </c>
      <c r="H27" s="16">
        <f t="shared" si="5"/>
        <v>0.16850000000000001</v>
      </c>
      <c r="I27" s="16">
        <f t="shared" si="6"/>
        <v>0.115</v>
      </c>
      <c r="J27" s="7">
        <f t="shared" si="7"/>
        <v>8.4000000000000005E-2</v>
      </c>
      <c r="K27" s="17">
        <f t="shared" si="8"/>
        <v>0.51115023474178412</v>
      </c>
      <c r="L27" s="18"/>
      <c r="M27" s="18"/>
      <c r="N27" s="18"/>
      <c r="O27" s="18"/>
    </row>
    <row r="28" spans="1:15">
      <c r="A28" s="14"/>
      <c r="B28" s="5">
        <v>16</v>
      </c>
      <c r="C28" s="8">
        <v>0.05</v>
      </c>
      <c r="D28" s="8">
        <v>4.9000000000000002E-2</v>
      </c>
      <c r="E28" s="16">
        <f t="shared" si="4"/>
        <v>4.9500000000000002E-2</v>
      </c>
      <c r="F28" s="8">
        <v>0.13800000000000001</v>
      </c>
      <c r="G28" s="8">
        <v>0.125</v>
      </c>
      <c r="H28" s="16">
        <f t="shared" si="5"/>
        <v>0.13150000000000001</v>
      </c>
      <c r="I28" s="16">
        <f t="shared" si="6"/>
        <v>8.2000000000000003E-2</v>
      </c>
      <c r="J28" s="7">
        <f t="shared" si="7"/>
        <v>5.1000000000000004E-2</v>
      </c>
      <c r="K28" s="17">
        <f t="shared" si="8"/>
        <v>0.31748826291079812</v>
      </c>
      <c r="L28" s="18"/>
      <c r="M28" s="18"/>
      <c r="N28" s="18"/>
      <c r="O28" s="18"/>
    </row>
    <row r="29" spans="1:15">
      <c r="A29" s="14"/>
      <c r="B29" s="5">
        <v>17</v>
      </c>
      <c r="C29" s="8">
        <v>5.5E-2</v>
      </c>
      <c r="D29" s="8">
        <v>5.2999999999999999E-2</v>
      </c>
      <c r="E29" s="16">
        <f t="shared" si="4"/>
        <v>5.3999999999999999E-2</v>
      </c>
      <c r="F29" s="8">
        <v>0.153</v>
      </c>
      <c r="G29" s="8">
        <v>0.14499999999999999</v>
      </c>
      <c r="H29" s="16">
        <f t="shared" si="5"/>
        <v>0.14899999999999999</v>
      </c>
      <c r="I29" s="16">
        <f t="shared" si="6"/>
        <v>9.5000000000000001E-2</v>
      </c>
      <c r="J29" s="7">
        <f t="shared" si="7"/>
        <v>6.4000000000000001E-2</v>
      </c>
      <c r="K29" s="17">
        <f t="shared" si="8"/>
        <v>0.39377934272300474</v>
      </c>
      <c r="L29" s="18"/>
      <c r="M29" s="18"/>
      <c r="N29" s="18"/>
      <c r="O29" s="18"/>
    </row>
    <row r="30" spans="1:15">
      <c r="A30" s="14"/>
      <c r="B30" s="5">
        <v>18</v>
      </c>
      <c r="C30" s="9">
        <v>8.7999999999999995E-2</v>
      </c>
      <c r="D30" s="8">
        <v>7.5999999999999998E-2</v>
      </c>
      <c r="E30" s="16">
        <f t="shared" si="4"/>
        <v>8.199999999999999E-2</v>
      </c>
      <c r="F30" s="8">
        <v>0.22900000000000001</v>
      </c>
      <c r="G30" s="8">
        <v>0.186</v>
      </c>
      <c r="H30" s="16">
        <f t="shared" si="5"/>
        <v>0.20750000000000002</v>
      </c>
      <c r="I30" s="16">
        <f t="shared" si="6"/>
        <v>0.12550000000000003</v>
      </c>
      <c r="J30" s="7">
        <f t="shared" si="7"/>
        <v>9.4500000000000028E-2</v>
      </c>
      <c r="K30" s="17">
        <f t="shared" si="8"/>
        <v>0.57276995305164335</v>
      </c>
      <c r="L30" s="18"/>
      <c r="M30" s="18"/>
      <c r="N30" s="18"/>
      <c r="O30" s="18"/>
    </row>
    <row r="31" spans="1:15">
      <c r="A31" s="14" t="s">
        <v>16</v>
      </c>
      <c r="B31" s="5">
        <v>19</v>
      </c>
      <c r="C31" s="8">
        <v>5.5E-2</v>
      </c>
      <c r="D31" s="8">
        <v>5.8999999999999997E-2</v>
      </c>
      <c r="E31" s="16">
        <f t="shared" si="4"/>
        <v>5.6999999999999995E-2</v>
      </c>
      <c r="F31" s="8">
        <v>0.154</v>
      </c>
      <c r="G31" s="8">
        <v>0.17499999999999999</v>
      </c>
      <c r="H31" s="16">
        <f t="shared" si="5"/>
        <v>0.16449999999999998</v>
      </c>
      <c r="I31" s="16">
        <f t="shared" si="6"/>
        <v>0.10749999999999998</v>
      </c>
      <c r="J31" s="7">
        <f t="shared" si="7"/>
        <v>7.6499999999999985E-2</v>
      </c>
      <c r="K31" s="17">
        <f t="shared" si="8"/>
        <v>0.46713615023474175</v>
      </c>
      <c r="L31" s="18">
        <f>AVERAGE(K31:K36)</f>
        <v>0.50625978090766832</v>
      </c>
      <c r="M31" s="18">
        <f>STDEV(K31:K36)/SQRT(6)</f>
        <v>6.636762087017975E-2</v>
      </c>
    </row>
    <row r="32" spans="1:15">
      <c r="A32" s="14"/>
      <c r="B32" s="5">
        <v>20</v>
      </c>
      <c r="C32" s="9">
        <v>0.11899999999999999</v>
      </c>
      <c r="D32" s="9">
        <v>0.107</v>
      </c>
      <c r="E32" s="16">
        <f t="shared" si="4"/>
        <v>0.11299999999999999</v>
      </c>
      <c r="F32" s="8">
        <v>0.20499999999999999</v>
      </c>
      <c r="G32" s="8">
        <v>0.19500000000000001</v>
      </c>
      <c r="H32" s="16">
        <f t="shared" si="5"/>
        <v>0.2</v>
      </c>
      <c r="I32" s="16">
        <f t="shared" si="6"/>
        <v>8.7000000000000022E-2</v>
      </c>
      <c r="J32" s="7">
        <f t="shared" si="7"/>
        <v>5.6000000000000022E-2</v>
      </c>
      <c r="K32" s="17">
        <f t="shared" si="8"/>
        <v>0.34683098591549311</v>
      </c>
      <c r="L32" s="18"/>
      <c r="M32" s="18"/>
    </row>
    <row r="33" spans="1:13">
      <c r="A33" s="14"/>
      <c r="B33" s="5">
        <v>21</v>
      </c>
      <c r="C33" s="9">
        <v>9.4E-2</v>
      </c>
      <c r="D33" s="9">
        <v>0.1</v>
      </c>
      <c r="E33" s="16">
        <f t="shared" si="4"/>
        <v>9.7000000000000003E-2</v>
      </c>
      <c r="F33" s="8">
        <v>0.21</v>
      </c>
      <c r="G33" s="8">
        <v>0.20899999999999999</v>
      </c>
      <c r="H33" s="16">
        <f t="shared" si="5"/>
        <v>0.20949999999999999</v>
      </c>
      <c r="I33" s="16">
        <f t="shared" si="6"/>
        <v>0.11249999999999999</v>
      </c>
      <c r="J33" s="7">
        <f t="shared" si="7"/>
        <v>8.1499999999999989E-2</v>
      </c>
      <c r="K33" s="17">
        <f t="shared" si="8"/>
        <v>0.49647887323943662</v>
      </c>
      <c r="L33" s="18"/>
      <c r="M33" s="18"/>
    </row>
    <row r="34" spans="1:13">
      <c r="A34" s="14"/>
      <c r="B34" s="5">
        <v>22</v>
      </c>
      <c r="C34" s="8">
        <v>5.8000000000000003E-2</v>
      </c>
      <c r="D34" s="8">
        <v>5.8000000000000003E-2</v>
      </c>
      <c r="E34" s="16">
        <f t="shared" si="4"/>
        <v>5.8000000000000003E-2</v>
      </c>
      <c r="F34" s="8">
        <v>0.193</v>
      </c>
      <c r="G34" s="8">
        <v>0.19700000000000001</v>
      </c>
      <c r="H34" s="16">
        <f t="shared" si="5"/>
        <v>0.19500000000000001</v>
      </c>
      <c r="I34" s="16">
        <f t="shared" si="6"/>
        <v>0.13700000000000001</v>
      </c>
      <c r="J34" s="7">
        <f t="shared" si="7"/>
        <v>0.10600000000000001</v>
      </c>
      <c r="K34" s="17">
        <f t="shared" si="8"/>
        <v>0.64025821596244148</v>
      </c>
      <c r="L34" s="18"/>
      <c r="M34" s="18"/>
    </row>
    <row r="35" spans="1:13">
      <c r="A35" s="14"/>
      <c r="B35" s="5">
        <v>23</v>
      </c>
      <c r="C35" s="9">
        <v>9.7000000000000003E-2</v>
      </c>
      <c r="D35" s="9">
        <v>0.13100000000000001</v>
      </c>
      <c r="E35" s="16">
        <f t="shared" si="4"/>
        <v>0.114</v>
      </c>
      <c r="F35" s="8">
        <v>0.17399999999999999</v>
      </c>
      <c r="G35" s="8">
        <v>0.22500000000000001</v>
      </c>
      <c r="H35" s="16">
        <f t="shared" si="5"/>
        <v>0.19950000000000001</v>
      </c>
      <c r="I35" s="16">
        <f t="shared" si="6"/>
        <v>8.5500000000000007E-2</v>
      </c>
      <c r="J35" s="7">
        <f t="shared" si="7"/>
        <v>5.4500000000000007E-2</v>
      </c>
      <c r="K35" s="17">
        <f t="shared" si="8"/>
        <v>0.33802816901408456</v>
      </c>
      <c r="L35" s="18"/>
      <c r="M35" s="18"/>
    </row>
    <row r="36" spans="1:13">
      <c r="A36" s="14"/>
      <c r="B36" s="5">
        <v>24</v>
      </c>
      <c r="C36" s="9">
        <v>0.112</v>
      </c>
      <c r="D36" s="9">
        <v>0.112</v>
      </c>
      <c r="E36" s="16">
        <f t="shared" si="4"/>
        <v>0.112</v>
      </c>
      <c r="F36" s="9">
        <v>0.27100000000000002</v>
      </c>
      <c r="G36" s="9">
        <v>0.26400000000000001</v>
      </c>
      <c r="H36" s="16">
        <f t="shared" si="5"/>
        <v>0.26750000000000002</v>
      </c>
      <c r="I36" s="16">
        <f t="shared" si="6"/>
        <v>0.15550000000000003</v>
      </c>
      <c r="J36" s="7">
        <f t="shared" si="7"/>
        <v>0.12450000000000003</v>
      </c>
      <c r="K36" s="17">
        <f t="shared" si="8"/>
        <v>0.74882629107981236</v>
      </c>
      <c r="L36" s="18"/>
      <c r="M36" s="18"/>
    </row>
    <row r="37" spans="1:13">
      <c r="I37" s="16"/>
      <c r="J37" s="7"/>
      <c r="K37" s="17"/>
    </row>
    <row r="38" spans="1:13">
      <c r="I38" s="16"/>
      <c r="J38" s="7"/>
      <c r="K38" s="17"/>
    </row>
  </sheetData>
  <mergeCells count="22">
    <mergeCell ref="A25:A30"/>
    <mergeCell ref="L25:L30"/>
    <mergeCell ref="M25:M30"/>
    <mergeCell ref="N25:N30"/>
    <mergeCell ref="O25:O30"/>
    <mergeCell ref="A31:A36"/>
    <mergeCell ref="L31:L36"/>
    <mergeCell ref="M31:M36"/>
    <mergeCell ref="A13:A18"/>
    <mergeCell ref="L13:L18"/>
    <mergeCell ref="M13:M18"/>
    <mergeCell ref="N13:N18"/>
    <mergeCell ref="O13:O18"/>
    <mergeCell ref="A19:A24"/>
    <mergeCell ref="L19:L24"/>
    <mergeCell ref="M19:M24"/>
    <mergeCell ref="A2:I2"/>
    <mergeCell ref="B3:C3"/>
    <mergeCell ref="E3:F3"/>
    <mergeCell ref="N11:O11"/>
    <mergeCell ref="C12:D12"/>
    <mergeCell ref="F12:G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Glucosa C K</vt:lpstr>
      <vt:lpstr>Glucosa HP HL</vt:lpstr>
      <vt:lpstr>Lactat C i K</vt:lpstr>
      <vt:lpstr>Lactat HP i HL</vt:lpstr>
      <vt:lpstr>Colesterol C K</vt:lpstr>
      <vt:lpstr>Colesterol HP HL</vt:lpstr>
      <vt:lpstr>TAG C i K</vt:lpstr>
      <vt:lpstr>TAG HP i HL</vt:lpstr>
      <vt:lpstr>NEFA C i K</vt:lpstr>
      <vt:lpstr>NEFA HP i HL</vt:lpstr>
      <vt:lpstr>Hidroxibutirat</vt:lpstr>
      <vt:lpstr>Acetoacetat</vt:lpstr>
      <vt:lpstr>Proteina CKHPHL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</dc:creator>
  <cp:lastModifiedBy>No</cp:lastModifiedBy>
  <dcterms:created xsi:type="dcterms:W3CDTF">2017-05-10T15:53:42Z</dcterms:created>
  <dcterms:modified xsi:type="dcterms:W3CDTF">2017-05-10T16:13:00Z</dcterms:modified>
</cp:coreProperties>
</file>