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1490" windowHeight="7755" firstSheet="2" activeTab="7"/>
  </bookViews>
  <sheets>
    <sheet name="HL 1-2 M" sheetId="1" r:id="rId1"/>
    <sheet name="HL 3-4 M" sheetId="2" r:id="rId2"/>
    <sheet name="HL 5-6 M" sheetId="3" r:id="rId3"/>
    <sheet name="HL 7-8 F" sheetId="4" r:id="rId4"/>
    <sheet name="HL 9-10 F" sheetId="5" r:id="rId5"/>
    <sheet name="HL 11-12 F" sheetId="6" r:id="rId6"/>
    <sheet name="Pesos" sheetId="7" r:id="rId7"/>
    <sheet name="RESUM" sheetId="8" r:id="rId8"/>
    <sheet name="Balanç A, L i P" sheetId="9" r:id="rId9"/>
    <sheet name="AG" sheetId="10" r:id="rId10"/>
    <sheet name="AG   HL K" sheetId="11" r:id="rId11"/>
    <sheet name="AA" sheetId="12" r:id="rId12"/>
    <sheet name="Balanç2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no</author>
  </authors>
  <commentList>
    <comment ref="F18" authorId="0">
      <text>
        <r>
          <rPr>
            <b/>
            <sz val="9"/>
            <rFont val="Tahoma"/>
            <family val="2"/>
          </rPr>
          <t>no: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No</author>
  </authors>
  <commentList>
    <comment ref="D18" authorId="0">
      <text>
        <r>
          <rPr>
            <b/>
            <sz val="9"/>
            <rFont val="Tahoma"/>
            <family val="2"/>
          </rPr>
          <t>No:</t>
        </r>
        <r>
          <rPr>
            <sz val="9"/>
            <rFont val="Tahoma"/>
            <family val="2"/>
          </rPr>
          <t xml:space="preserve">
Valor promig
el seu valor es 0,113
</t>
        </r>
      </text>
    </comment>
  </commentList>
</comments>
</file>

<file path=xl/sharedStrings.xml><?xml version="1.0" encoding="utf-8"?>
<sst xmlns="http://schemas.openxmlformats.org/spreadsheetml/2006/main" count="761" uniqueCount="234">
  <si>
    <t>% aigua</t>
  </si>
  <si>
    <t>g aigua</t>
  </si>
  <si>
    <t>% aigua</t>
  </si>
  <si>
    <t>Aigua</t>
  </si>
  <si>
    <t>Suma L+P+A</t>
  </si>
  <si>
    <t>Aigua</t>
  </si>
  <si>
    <t>Su,a L+P+A</t>
  </si>
  <si>
    <t>DIA 1</t>
  </si>
  <si>
    <t>DIA 2</t>
  </si>
  <si>
    <t>DIA 3</t>
  </si>
  <si>
    <t>DIA 4</t>
  </si>
  <si>
    <t>DIA 7</t>
  </si>
  <si>
    <t>DIA 9</t>
  </si>
  <si>
    <t>DIA 11</t>
  </si>
  <si>
    <t>DIA 14</t>
  </si>
  <si>
    <t>DIA 18</t>
  </si>
  <si>
    <t>DIA 21</t>
  </si>
  <si>
    <t>DIA 24</t>
  </si>
  <si>
    <t>PESO</t>
  </si>
  <si>
    <t>DIA 8</t>
  </si>
  <si>
    <t>DIA 10</t>
  </si>
  <si>
    <t>DIA 15</t>
  </si>
  <si>
    <t>DIA 22</t>
  </si>
  <si>
    <t>DIA 29</t>
  </si>
  <si>
    <t xml:space="preserve">PESO </t>
  </si>
  <si>
    <t>PIENSO F</t>
  </si>
  <si>
    <t>PIENSO E</t>
  </si>
  <si>
    <t>F= FACILITADO</t>
  </si>
  <si>
    <t>E= ENCONTRADO</t>
  </si>
  <si>
    <t>I =INGERIDO</t>
  </si>
  <si>
    <t>DIA 25</t>
  </si>
  <si>
    <t>PIENSO I</t>
  </si>
  <si>
    <t>DIA 30</t>
  </si>
  <si>
    <t>DIETA HIPERLIPÍDICA</t>
  </si>
  <si>
    <t>MACHO HL1</t>
  </si>
  <si>
    <t>MACHO HL2</t>
  </si>
  <si>
    <t>JAULA 20</t>
  </si>
  <si>
    <t>DIA 1  (9-12-13)</t>
  </si>
  <si>
    <t>DIA 5</t>
  </si>
  <si>
    <t>DIA 12</t>
  </si>
  <si>
    <t>DIA 19</t>
  </si>
  <si>
    <t>DIA 26</t>
  </si>
  <si>
    <t>MACHO HL3</t>
  </si>
  <si>
    <t>MACHO HL4</t>
  </si>
  <si>
    <t>JAULA 20 BIS</t>
  </si>
  <si>
    <t>MACHO HL5</t>
  </si>
  <si>
    <t>MACHO HL6</t>
  </si>
  <si>
    <t>JAULA 21</t>
  </si>
  <si>
    <t>DIA 0  (9-12-13)</t>
  </si>
  <si>
    <t>HEMBRA HL 7</t>
  </si>
  <si>
    <t>HEMBRA HL 8</t>
  </si>
  <si>
    <t>HEMBRA HL 9</t>
  </si>
  <si>
    <t>HEMBRA HL 10</t>
  </si>
  <si>
    <t>HEMBRA HL 11</t>
  </si>
  <si>
    <t>HEMBRA HL 12</t>
  </si>
  <si>
    <t>DIA 30 (8-1-14)</t>
  </si>
  <si>
    <t>JAULA 21 BIS</t>
  </si>
  <si>
    <t>JAULA 21 TRIS</t>
  </si>
  <si>
    <t>JAULA 20 TRIS</t>
  </si>
  <si>
    <t>DIA -3 (5-12-13)</t>
  </si>
  <si>
    <t>DIA -3 (5-9-13)</t>
  </si>
  <si>
    <t>Promedio</t>
  </si>
  <si>
    <t>Error</t>
  </si>
  <si>
    <t>Ingest/animal/d</t>
  </si>
  <si>
    <t>Ingesta/animal/d</t>
  </si>
  <si>
    <t>Pesos</t>
  </si>
  <si>
    <t>% peso</t>
  </si>
  <si>
    <t>MASCLES</t>
  </si>
  <si>
    <t>Pesos absoluts</t>
  </si>
  <si>
    <t>Promig</t>
  </si>
  <si>
    <t>Pesos relatius</t>
  </si>
  <si>
    <t>Pes</t>
  </si>
  <si>
    <t>Fetge</t>
  </si>
  <si>
    <t>Ronyó</t>
  </si>
  <si>
    <t>TAB Epi</t>
  </si>
  <si>
    <t>TAB Retro</t>
  </si>
  <si>
    <t>TAB Mes</t>
  </si>
  <si>
    <t>Suma TAB</t>
  </si>
  <si>
    <t>TAMI</t>
  </si>
  <si>
    <t>Paquet Intestinal</t>
  </si>
  <si>
    <t>IP proximal</t>
  </si>
  <si>
    <t>IP mig</t>
  </si>
  <si>
    <t>IP distal</t>
  </si>
  <si>
    <t>IP total</t>
  </si>
  <si>
    <t>Estómac</t>
  </si>
  <si>
    <t>Pàncreas</t>
  </si>
  <si>
    <t>I gros</t>
  </si>
  <si>
    <t>Contingut intestinal</t>
  </si>
  <si>
    <t>Pes net</t>
  </si>
  <si>
    <t>FEMELLES</t>
  </si>
  <si>
    <t>kJ/g</t>
  </si>
  <si>
    <t>g</t>
  </si>
  <si>
    <t>%</t>
  </si>
  <si>
    <t>Increment pes</t>
  </si>
  <si>
    <t>kJ ingerits</t>
  </si>
  <si>
    <t>Increment pes %</t>
  </si>
  <si>
    <t>kJ/g 075</t>
  </si>
  <si>
    <t>Pes pot 0,75</t>
  </si>
  <si>
    <t>g Proteïna ingerida</t>
  </si>
  <si>
    <t>g Proteïna ingerida</t>
  </si>
  <si>
    <t>gProt ingerida/g pes increm</t>
  </si>
  <si>
    <t>g Lípids ingerits</t>
  </si>
  <si>
    <t>g Glúcids ingerits</t>
  </si>
  <si>
    <t>HL</t>
  </si>
  <si>
    <t>Pes inicial</t>
  </si>
  <si>
    <t>% Lípids</t>
  </si>
  <si>
    <t>% Proteïnes</t>
  </si>
  <si>
    <t>g Lípids</t>
  </si>
  <si>
    <t>G Proteïnes</t>
  </si>
  <si>
    <t>Pes final</t>
  </si>
  <si>
    <t>Balanç (increment)</t>
  </si>
  <si>
    <t>Lípids</t>
  </si>
  <si>
    <t>Proteïnes</t>
  </si>
  <si>
    <t>Ingesta</t>
  </si>
  <si>
    <t>Acreció % ingesta</t>
  </si>
  <si>
    <t>Massa magre</t>
  </si>
  <si>
    <t>Inici</t>
  </si>
  <si>
    <t>Final</t>
  </si>
  <si>
    <t>Guany magre</t>
  </si>
  <si>
    <t>g prot ingerida/g magre</t>
  </si>
  <si>
    <t>% incr magre/inc pes</t>
  </si>
  <si>
    <t>MASCLES HL</t>
  </si>
  <si>
    <t>FEMELLES HL</t>
  </si>
  <si>
    <t>Dades individuals</t>
  </si>
  <si>
    <t>Promig C 100d</t>
  </si>
  <si>
    <t>Pinso control 2014 Harlan. Compostos de Cafeteria: Esteve &amp; Rafecas 1992. +Correccions JA. Pinso HL analitzat aCCiTUB.</t>
  </si>
  <si>
    <t>PROMIG</t>
  </si>
  <si>
    <t>ERROR</t>
  </si>
  <si>
    <t>Pinso control</t>
  </si>
  <si>
    <t>Relació</t>
  </si>
  <si>
    <t>g pinso</t>
  </si>
  <si>
    <t>mg/g</t>
  </si>
  <si>
    <t>mg/g pinso</t>
  </si>
  <si>
    <t>HL/C</t>
  </si>
  <si>
    <t>AG saturats</t>
  </si>
  <si>
    <t>C10</t>
  </si>
  <si>
    <t>C12</t>
  </si>
  <si>
    <t>C14</t>
  </si>
  <si>
    <t>C16</t>
  </si>
  <si>
    <t>C18</t>
  </si>
  <si>
    <t>C20</t>
  </si>
  <si>
    <t>C22</t>
  </si>
  <si>
    <t>Subtotal</t>
  </si>
  <si>
    <t>AG MI</t>
  </si>
  <si>
    <t>C16:1</t>
  </si>
  <si>
    <t>C18:1</t>
  </si>
  <si>
    <t>C20:1</t>
  </si>
  <si>
    <t>C22:1</t>
  </si>
  <si>
    <t>AGPI</t>
  </si>
  <si>
    <t>C18:2</t>
  </si>
  <si>
    <t>C18:3</t>
  </si>
  <si>
    <t>C20:4</t>
  </si>
  <si>
    <t>TOTAL</t>
  </si>
  <si>
    <t>MASCLES HL</t>
  </si>
  <si>
    <t>MASCLES K</t>
  </si>
  <si>
    <t>HL/K</t>
  </si>
  <si>
    <t>HL/K %</t>
  </si>
  <si>
    <t>Femelles HL</t>
  </si>
  <si>
    <t>Femelles K</t>
  </si>
  <si>
    <t>COMPOSICIÓ DE LES DIETES: AMINOÀCIDS</t>
  </si>
  <si>
    <t xml:space="preserve">MASCLES HL </t>
  </si>
  <si>
    <t>Ingesta proteica 71,9</t>
  </si>
  <si>
    <t>Promedio</t>
  </si>
  <si>
    <t>Error</t>
  </si>
  <si>
    <t>Harlan 2014</t>
  </si>
  <si>
    <t xml:space="preserve">Hiper proteic </t>
  </si>
  <si>
    <t>Hiperlipídic</t>
  </si>
  <si>
    <t>g/kg</t>
  </si>
  <si>
    <t>ASX</t>
  </si>
  <si>
    <t>g AA</t>
  </si>
  <si>
    <t>GLX</t>
  </si>
  <si>
    <t>ALA</t>
  </si>
  <si>
    <t>GLY</t>
  </si>
  <si>
    <t>THR</t>
  </si>
  <si>
    <t>PRO</t>
  </si>
  <si>
    <t>SER</t>
  </si>
  <si>
    <t>LEU</t>
  </si>
  <si>
    <t xml:space="preserve">ILE </t>
  </si>
  <si>
    <t>VAL</t>
  </si>
  <si>
    <t>PHE</t>
  </si>
  <si>
    <t>TYR</t>
  </si>
  <si>
    <t>MET</t>
  </si>
  <si>
    <t>CYS</t>
  </si>
  <si>
    <t>LYS</t>
  </si>
  <si>
    <t>HIS</t>
  </si>
  <si>
    <t>ARG</t>
  </si>
  <si>
    <t>TRP</t>
  </si>
  <si>
    <t>Total</t>
  </si>
  <si>
    <t>FEMELLES HL CONTROL</t>
  </si>
  <si>
    <t>Ingesta proteica 50,73 g</t>
  </si>
  <si>
    <t>Paté</t>
  </si>
  <si>
    <t>Bacon</t>
  </si>
  <si>
    <t>Galeta</t>
  </si>
  <si>
    <t>Llet</t>
  </si>
  <si>
    <t>Hiperlipídic</t>
  </si>
  <si>
    <t>mmol/kg</t>
  </si>
  <si>
    <t>BIS</t>
  </si>
  <si>
    <t>Suma P+L+aigua</t>
  </si>
  <si>
    <t>Pes absolut</t>
  </si>
  <si>
    <t>Pes relatiu</t>
  </si>
  <si>
    <t>Dia</t>
  </si>
  <si>
    <t>g ingerits /animal</t>
  </si>
  <si>
    <t>g food ingerits</t>
  </si>
  <si>
    <t>food energy density</t>
  </si>
  <si>
    <t>KJ</t>
  </si>
  <si>
    <t>Energia</t>
  </si>
  <si>
    <t>Ingesta kJ</t>
  </si>
  <si>
    <t>Balanç energia kJ</t>
  </si>
  <si>
    <t>Despesa energia kJ</t>
  </si>
  <si>
    <t>kJ/pes 0,75</t>
  </si>
  <si>
    <t>KJ ingerits/dia</t>
  </si>
  <si>
    <t>Kcal ing /dia animal</t>
  </si>
  <si>
    <t>Despesa energia kJ/d</t>
  </si>
  <si>
    <t>Despesa energia MJ</t>
  </si>
  <si>
    <t>Energy Expenditure</t>
  </si>
  <si>
    <t>Mantanaince energy requirement</t>
  </si>
  <si>
    <t>kJ/pes0,75 per day</t>
  </si>
  <si>
    <t>KJ/Kg^0.75 per day</t>
  </si>
  <si>
    <t>KJ/Kg^0.75 per day lean</t>
  </si>
  <si>
    <t>% Lípids</t>
  </si>
  <si>
    <t>Promig Plos 2012-14</t>
  </si>
  <si>
    <t>% Proteïnes</t>
  </si>
  <si>
    <t>Promig Plos 2012</t>
  </si>
  <si>
    <t>Kj/g teixit</t>
  </si>
  <si>
    <t>Promig C 100d bomba calorim</t>
  </si>
  <si>
    <t>KJ/g teixit</t>
  </si>
  <si>
    <t>bomba calorimetrica</t>
  </si>
  <si>
    <t>Energia KJ</t>
  </si>
  <si>
    <t>kJ proteïnes</t>
  </si>
  <si>
    <t>kJ proteïnes dia</t>
  </si>
  <si>
    <t>kJ lípids</t>
  </si>
  <si>
    <t>kJ Lip dia</t>
  </si>
  <si>
    <t>kJ glúcids</t>
  </si>
  <si>
    <t>kJ Gluc dia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</si>
</sst>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"/>
    <numFmt numFmtId="173" formatCode="0.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15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4"/>
      <name val="Calibri"/>
      <family val="2"/>
    </font>
    <font>
      <b/>
      <sz val="11"/>
      <color indexed="14"/>
      <name val="Calibri"/>
      <family val="2"/>
    </font>
    <font>
      <sz val="11"/>
      <color indexed="6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4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1"/>
      <color theme="3" tint="0.39998000860214233"/>
      <name val="Calibri"/>
      <family val="2"/>
    </font>
    <font>
      <u val="single"/>
      <sz val="11"/>
      <color theme="1"/>
      <name val="Calibri"/>
      <family val="2"/>
    </font>
    <font>
      <sz val="11"/>
      <color theme="4" tint="-0.24997000396251678"/>
      <name val="Calibri"/>
      <family val="2"/>
    </font>
    <font>
      <sz val="11"/>
      <color theme="4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15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44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30" borderId="0" xfId="0" applyFill="1" applyAlignment="1">
      <alignment/>
    </xf>
    <xf numFmtId="172" fontId="0" fillId="0" borderId="12" xfId="0" applyNumberFormat="1" applyBorder="1" applyAlignment="1">
      <alignment/>
    </xf>
    <xf numFmtId="172" fontId="1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2" fontId="4" fillId="0" borderId="12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5" fillId="0" borderId="0" xfId="0" applyFont="1" applyAlignment="1">
      <alignment/>
    </xf>
    <xf numFmtId="2" fontId="12" fillId="0" borderId="0" xfId="0" applyNumberFormat="1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20" fillId="0" borderId="0" xfId="0" applyFont="1" applyAlignment="1">
      <alignment/>
    </xf>
    <xf numFmtId="172" fontId="19" fillId="0" borderId="0" xfId="0" applyNumberFormat="1" applyFont="1" applyAlignment="1">
      <alignment/>
    </xf>
    <xf numFmtId="0" fontId="21" fillId="0" borderId="0" xfId="0" applyFont="1" applyAlignment="1">
      <alignment/>
    </xf>
    <xf numFmtId="9" fontId="12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44" fillId="0" borderId="0" xfId="0" applyFont="1" applyAlignment="1">
      <alignment/>
    </xf>
    <xf numFmtId="0" fontId="0" fillId="31" borderId="0" xfId="0" applyFill="1" applyAlignment="1">
      <alignment/>
    </xf>
    <xf numFmtId="0" fontId="0" fillId="7" borderId="0" xfId="0" applyFill="1" applyAlignment="1">
      <alignment/>
    </xf>
    <xf numFmtId="172" fontId="0" fillId="0" borderId="0" xfId="0" applyNumberFormat="1" applyFill="1" applyBorder="1" applyAlignment="1">
      <alignment/>
    </xf>
    <xf numFmtId="172" fontId="0" fillId="32" borderId="0" xfId="0" applyNumberFormat="1" applyFill="1" applyAlignment="1">
      <alignment/>
    </xf>
    <xf numFmtId="0" fontId="0" fillId="32" borderId="0" xfId="0" applyFill="1" applyAlignment="1">
      <alignment/>
    </xf>
    <xf numFmtId="172" fontId="0" fillId="32" borderId="12" xfId="0" applyNumberFormat="1" applyFill="1" applyBorder="1" applyAlignment="1">
      <alignment/>
    </xf>
    <xf numFmtId="0" fontId="45" fillId="32" borderId="0" xfId="0" applyFont="1" applyFill="1" applyAlignment="1">
      <alignment/>
    </xf>
    <xf numFmtId="172" fontId="45" fillId="0" borderId="0" xfId="0" applyNumberFormat="1" applyFont="1" applyAlignment="1">
      <alignment/>
    </xf>
    <xf numFmtId="0" fontId="12" fillId="32" borderId="0" xfId="0" applyFont="1" applyFill="1" applyAlignment="1">
      <alignment/>
    </xf>
    <xf numFmtId="172" fontId="4" fillId="32" borderId="12" xfId="0" applyNumberFormat="1" applyFont="1" applyFill="1" applyBorder="1" applyAlignment="1">
      <alignment/>
    </xf>
    <xf numFmtId="172" fontId="4" fillId="32" borderId="0" xfId="0" applyNumberFormat="1" applyFont="1" applyFill="1" applyAlignment="1">
      <alignment/>
    </xf>
    <xf numFmtId="0" fontId="0" fillId="0" borderId="0" xfId="0" applyAlignment="1">
      <alignment/>
    </xf>
    <xf numFmtId="2" fontId="44" fillId="0" borderId="0" xfId="0" applyNumberFormat="1" applyFont="1" applyAlignment="1">
      <alignment/>
    </xf>
    <xf numFmtId="2" fontId="46" fillId="0" borderId="0" xfId="0" applyNumberFormat="1" applyFont="1" applyFill="1" applyAlignment="1">
      <alignment/>
    </xf>
    <xf numFmtId="2" fontId="46" fillId="32" borderId="12" xfId="0" applyNumberFormat="1" applyFont="1" applyFill="1" applyBorder="1" applyAlignment="1">
      <alignment horizontal="center"/>
    </xf>
    <xf numFmtId="2" fontId="46" fillId="0" borderId="12" xfId="0" applyNumberFormat="1" applyFont="1" applyFill="1" applyBorder="1" applyAlignment="1">
      <alignment/>
    </xf>
    <xf numFmtId="2" fontId="46" fillId="0" borderId="0" xfId="0" applyNumberFormat="1" applyFont="1" applyFill="1" applyBorder="1" applyAlignment="1">
      <alignment/>
    </xf>
    <xf numFmtId="172" fontId="46" fillId="0" borderId="12" xfId="0" applyNumberFormat="1" applyFont="1" applyBorder="1" applyAlignment="1">
      <alignment/>
    </xf>
    <xf numFmtId="172" fontId="46" fillId="0" borderId="0" xfId="0" applyNumberFormat="1" applyFont="1" applyAlignment="1">
      <alignment/>
    </xf>
    <xf numFmtId="2" fontId="46" fillId="0" borderId="0" xfId="0" applyNumberFormat="1" applyFont="1" applyFill="1" applyAlignment="1">
      <alignment/>
    </xf>
    <xf numFmtId="172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2" fontId="42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2" fontId="44" fillId="0" borderId="12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13" fillId="0" borderId="12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2" fontId="44" fillId="0" borderId="0" xfId="0" applyNumberFormat="1" applyFont="1" applyBorder="1" applyAlignment="1">
      <alignment/>
    </xf>
    <xf numFmtId="2" fontId="0" fillId="0" borderId="0" xfId="0" applyNumberFormat="1" applyAlignment="1">
      <alignment vertical="center"/>
    </xf>
    <xf numFmtId="2" fontId="42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47" fillId="0" borderId="0" xfId="0" applyFont="1" applyAlignment="1">
      <alignment/>
    </xf>
    <xf numFmtId="2" fontId="0" fillId="0" borderId="1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72" fontId="12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2" fontId="0" fillId="0" borderId="15" xfId="0" applyNumberForma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15" xfId="0" applyFont="1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20" sqref="F20"/>
    </sheetView>
  </sheetViews>
  <sheetFormatPr defaultColWidth="11.421875" defaultRowHeight="15"/>
  <cols>
    <col min="1" max="1" width="20.7109375" style="0" customWidth="1"/>
    <col min="2" max="2" width="12.7109375" style="0" customWidth="1"/>
    <col min="3" max="3" width="12.421875" style="0" customWidth="1"/>
    <col min="4" max="4" width="11.421875" style="0" customWidth="1"/>
    <col min="5" max="5" width="13.28125" style="0" customWidth="1"/>
    <col min="6" max="6" width="11.421875" style="0" customWidth="1"/>
    <col min="7" max="7" width="17.421875" style="0" customWidth="1"/>
  </cols>
  <sheetData>
    <row r="1" ht="15">
      <c r="A1" s="1" t="s">
        <v>33</v>
      </c>
    </row>
    <row r="3" spans="1:6" ht="15">
      <c r="A3" s="2" t="s">
        <v>36</v>
      </c>
      <c r="B3" s="3" t="s">
        <v>34</v>
      </c>
      <c r="C3" s="3" t="s">
        <v>35</v>
      </c>
      <c r="D3" s="3"/>
      <c r="E3" s="3"/>
      <c r="F3" s="3"/>
    </row>
    <row r="4" spans="1:7" ht="15">
      <c r="A4" s="4"/>
      <c r="B4" s="3" t="s">
        <v>18</v>
      </c>
      <c r="C4" s="3" t="s">
        <v>24</v>
      </c>
      <c r="D4" s="3" t="s">
        <v>25</v>
      </c>
      <c r="E4" s="3" t="s">
        <v>26</v>
      </c>
      <c r="F4" s="3" t="s">
        <v>31</v>
      </c>
      <c r="G4" s="5" t="s">
        <v>64</v>
      </c>
    </row>
    <row r="5" spans="1:6" ht="15">
      <c r="A5" s="2" t="s">
        <v>59</v>
      </c>
      <c r="B5" s="3">
        <v>373</v>
      </c>
      <c r="C5" s="3">
        <v>339</v>
      </c>
      <c r="D5" s="3"/>
      <c r="E5" s="3"/>
      <c r="F5" s="3"/>
    </row>
    <row r="6" spans="1:7" ht="15">
      <c r="A6" s="2" t="s">
        <v>37</v>
      </c>
      <c r="B6" s="4">
        <v>389</v>
      </c>
      <c r="C6" s="4">
        <v>355</v>
      </c>
      <c r="D6" s="4">
        <v>124.71</v>
      </c>
      <c r="E6" s="4">
        <v>40.7</v>
      </c>
      <c r="F6" s="4">
        <f aca="true" t="shared" si="0" ref="F6:F16">D6-E6</f>
        <v>84.00999999999999</v>
      </c>
      <c r="G6" s="7">
        <f>F6/2/2</f>
        <v>21.002499999999998</v>
      </c>
    </row>
    <row r="7" spans="1:7" ht="15">
      <c r="A7" s="2" t="s">
        <v>9</v>
      </c>
      <c r="B7" s="4">
        <v>391</v>
      </c>
      <c r="C7" s="4">
        <v>356</v>
      </c>
      <c r="D7" s="4">
        <v>111.77</v>
      </c>
      <c r="E7" s="4">
        <v>34.48</v>
      </c>
      <c r="F7" s="4">
        <f t="shared" si="0"/>
        <v>77.28999999999999</v>
      </c>
      <c r="G7" s="7">
        <f>F7/2/2</f>
        <v>19.322499999999998</v>
      </c>
    </row>
    <row r="8" spans="1:7" ht="15">
      <c r="A8" s="2" t="s">
        <v>38</v>
      </c>
      <c r="B8" s="4">
        <v>394</v>
      </c>
      <c r="C8" s="4">
        <v>358</v>
      </c>
      <c r="D8" s="4">
        <v>145.75</v>
      </c>
      <c r="E8" s="4">
        <v>23.69</v>
      </c>
      <c r="F8" s="4">
        <f t="shared" si="0"/>
        <v>122.06</v>
      </c>
      <c r="G8" s="7">
        <f>F8/2/3</f>
        <v>20.343333333333334</v>
      </c>
    </row>
    <row r="9" spans="1:7" ht="15">
      <c r="A9" s="2" t="s">
        <v>19</v>
      </c>
      <c r="B9" s="4">
        <v>407</v>
      </c>
      <c r="C9" s="4">
        <v>365</v>
      </c>
      <c r="D9" s="4">
        <v>101.73</v>
      </c>
      <c r="E9" s="4">
        <v>17.32</v>
      </c>
      <c r="F9" s="4">
        <f t="shared" si="0"/>
        <v>84.41</v>
      </c>
      <c r="G9" s="7">
        <f>F9/2/2</f>
        <v>21.1025</v>
      </c>
    </row>
    <row r="10" spans="1:7" ht="15">
      <c r="A10" s="2" t="s">
        <v>20</v>
      </c>
      <c r="B10" s="4">
        <v>413</v>
      </c>
      <c r="C10" s="4">
        <v>369</v>
      </c>
      <c r="D10" s="4">
        <v>101.81</v>
      </c>
      <c r="E10" s="4">
        <v>17.47</v>
      </c>
      <c r="F10" s="4">
        <f t="shared" si="0"/>
        <v>84.34</v>
      </c>
      <c r="G10" s="7">
        <f>F10/2/2</f>
        <v>21.085</v>
      </c>
    </row>
    <row r="11" spans="1:7" ht="15">
      <c r="A11" s="2" t="s">
        <v>39</v>
      </c>
      <c r="B11" s="4">
        <v>419</v>
      </c>
      <c r="C11" s="4">
        <v>377</v>
      </c>
      <c r="D11" s="4">
        <v>140.43</v>
      </c>
      <c r="E11" s="4">
        <v>19.94</v>
      </c>
      <c r="F11" s="4">
        <f t="shared" si="0"/>
        <v>120.49000000000001</v>
      </c>
      <c r="G11" s="7">
        <f>F11/2/3</f>
        <v>20.081666666666667</v>
      </c>
    </row>
    <row r="12" spans="1:7" ht="15">
      <c r="A12" s="2" t="s">
        <v>21</v>
      </c>
      <c r="B12" s="4">
        <v>432</v>
      </c>
      <c r="C12" s="4">
        <v>387</v>
      </c>
      <c r="D12" s="4">
        <v>226.5</v>
      </c>
      <c r="E12" s="4">
        <v>66.13</v>
      </c>
      <c r="F12" s="4">
        <f t="shared" si="0"/>
        <v>160.37</v>
      </c>
      <c r="G12" s="7">
        <f>F12/2/4</f>
        <v>20.04625</v>
      </c>
    </row>
    <row r="13" spans="1:7" ht="15">
      <c r="A13" s="2" t="s">
        <v>40</v>
      </c>
      <c r="B13" s="4">
        <v>446</v>
      </c>
      <c r="C13" s="4">
        <v>393</v>
      </c>
      <c r="D13" s="4">
        <v>156.12</v>
      </c>
      <c r="E13" s="4">
        <v>37.24</v>
      </c>
      <c r="F13" s="4">
        <f t="shared" si="0"/>
        <v>118.88</v>
      </c>
      <c r="G13" s="7">
        <f>F13/2/3</f>
        <v>19.813333333333333</v>
      </c>
    </row>
    <row r="14" spans="1:7" ht="15">
      <c r="A14" s="2" t="s">
        <v>22</v>
      </c>
      <c r="B14" s="4">
        <v>456</v>
      </c>
      <c r="C14" s="4">
        <v>405</v>
      </c>
      <c r="D14" s="4">
        <v>140.26</v>
      </c>
      <c r="E14" s="4">
        <v>17.88</v>
      </c>
      <c r="F14" s="4">
        <f t="shared" si="0"/>
        <v>122.38</v>
      </c>
      <c r="G14" s="7">
        <f>F14/2/3</f>
        <v>20.396666666666665</v>
      </c>
    </row>
    <row r="15" spans="1:7" ht="15">
      <c r="A15" s="2" t="s">
        <v>30</v>
      </c>
      <c r="B15" s="4">
        <v>463</v>
      </c>
      <c r="C15" s="4">
        <v>409</v>
      </c>
      <c r="D15" s="4">
        <v>75.5</v>
      </c>
      <c r="E15" s="4">
        <v>22.39</v>
      </c>
      <c r="F15" s="4">
        <f t="shared" si="0"/>
        <v>53.11</v>
      </c>
      <c r="G15" s="7">
        <f>F15/2</f>
        <v>26.555</v>
      </c>
    </row>
    <row r="16" spans="1:7" ht="15">
      <c r="A16" s="2" t="s">
        <v>41</v>
      </c>
      <c r="B16" s="4">
        <v>467</v>
      </c>
      <c r="C16" s="4">
        <v>414</v>
      </c>
      <c r="D16" s="4">
        <v>225.63</v>
      </c>
      <c r="E16" s="4">
        <v>70.4</v>
      </c>
      <c r="F16" s="4">
        <f t="shared" si="0"/>
        <v>155.23</v>
      </c>
      <c r="G16" s="7">
        <f>F16/2/4</f>
        <v>19.40375</v>
      </c>
    </row>
    <row r="17" spans="1:7" ht="15">
      <c r="A17" s="2" t="s">
        <v>32</v>
      </c>
      <c r="B17" s="4">
        <v>478</v>
      </c>
      <c r="C17" s="4">
        <v>424</v>
      </c>
      <c r="D17" s="4"/>
      <c r="E17" s="4"/>
      <c r="F17" s="4"/>
      <c r="G17" s="7"/>
    </row>
    <row r="18" spans="1:7" ht="15">
      <c r="A18" s="2"/>
      <c r="B18" s="4"/>
      <c r="C18" s="4"/>
      <c r="D18" s="4"/>
      <c r="E18" s="4"/>
      <c r="F18" s="4"/>
      <c r="G18" s="7"/>
    </row>
    <row r="19" spans="1:8" ht="15">
      <c r="A19" s="2"/>
      <c r="B19" s="4"/>
      <c r="C19" s="4"/>
      <c r="D19" s="4"/>
      <c r="E19" s="4"/>
      <c r="F19" s="4">
        <f>SUM(F6:F18)</f>
        <v>1182.57</v>
      </c>
      <c r="G19" s="7" t="s">
        <v>90</v>
      </c>
      <c r="H19">
        <f>F19*14.11/2</f>
        <v>8343.03135</v>
      </c>
    </row>
    <row r="20" spans="1:6" ht="15">
      <c r="A20" s="1"/>
      <c r="E20" s="29" t="s">
        <v>201</v>
      </c>
      <c r="F20">
        <f>F19/2</f>
        <v>591.285</v>
      </c>
    </row>
    <row r="21" ht="15">
      <c r="B21" t="s">
        <v>27</v>
      </c>
    </row>
    <row r="22" ht="15">
      <c r="B22" t="s">
        <v>28</v>
      </c>
    </row>
    <row r="23" ht="15">
      <c r="B23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R57"/>
  <sheetViews>
    <sheetView zoomScalePageLayoutView="0" workbookViewId="0" topLeftCell="A13">
      <selection activeCell="B4" sqref="B4:R58"/>
    </sheetView>
  </sheetViews>
  <sheetFormatPr defaultColWidth="11.421875" defaultRowHeight="15"/>
  <cols>
    <col min="1" max="1" width="10.8515625" style="0" customWidth="1"/>
  </cols>
  <sheetData>
    <row r="4" spans="4:10" ht="15">
      <c r="D4" s="92" t="s">
        <v>125</v>
      </c>
      <c r="E4" s="92"/>
      <c r="F4" s="92"/>
      <c r="G4" s="92"/>
      <c r="H4" s="92"/>
      <c r="I4" s="92"/>
      <c r="J4" s="92"/>
    </row>
    <row r="6" spans="7:17" ht="15">
      <c r="G6" t="s">
        <v>67</v>
      </c>
      <c r="I6">
        <v>1</v>
      </c>
      <c r="J6">
        <v>2</v>
      </c>
      <c r="K6">
        <v>3</v>
      </c>
      <c r="L6">
        <v>4</v>
      </c>
      <c r="M6">
        <v>5</v>
      </c>
      <c r="N6">
        <v>6</v>
      </c>
      <c r="O6" t="s">
        <v>126</v>
      </c>
      <c r="P6" t="s">
        <v>127</v>
      </c>
      <c r="Q6" t="s">
        <v>92</v>
      </c>
    </row>
    <row r="7" spans="2:17" ht="15">
      <c r="B7" s="1" t="s">
        <v>128</v>
      </c>
      <c r="E7" s="1"/>
      <c r="F7" t="s">
        <v>129</v>
      </c>
      <c r="H7" t="s">
        <v>130</v>
      </c>
      <c r="I7">
        <v>591</v>
      </c>
      <c r="J7">
        <v>591</v>
      </c>
      <c r="K7">
        <v>592</v>
      </c>
      <c r="L7">
        <v>562</v>
      </c>
      <c r="M7">
        <v>639</v>
      </c>
      <c r="N7">
        <v>639</v>
      </c>
      <c r="O7">
        <f>AVERAGE(I7:N7)</f>
        <v>602.3333333333334</v>
      </c>
      <c r="P7">
        <f>STDEV(I7:N7)/SQRT(6)</f>
        <v>12.489106364259126</v>
      </c>
      <c r="Q7" s="1"/>
    </row>
    <row r="8" spans="2:18" ht="15">
      <c r="B8" t="s">
        <v>131</v>
      </c>
      <c r="E8" s="1" t="s">
        <v>132</v>
      </c>
      <c r="F8" s="1" t="s">
        <v>133</v>
      </c>
      <c r="G8" s="1"/>
      <c r="H8" s="1"/>
      <c r="I8" s="1"/>
      <c r="J8" s="1"/>
      <c r="K8" s="1"/>
      <c r="L8" s="1"/>
      <c r="M8" s="30"/>
      <c r="N8" s="30"/>
      <c r="Q8" s="31"/>
      <c r="R8" s="31"/>
    </row>
    <row r="9" spans="3:17" ht="15">
      <c r="C9" s="1" t="s">
        <v>134</v>
      </c>
      <c r="D9" s="1" t="s">
        <v>135</v>
      </c>
      <c r="E9">
        <v>4.29</v>
      </c>
      <c r="I9">
        <f>$E9*591</f>
        <v>2535.39</v>
      </c>
      <c r="J9">
        <f>$E9*591</f>
        <v>2535.39</v>
      </c>
      <c r="K9">
        <f>$E9*562</f>
        <v>2410.98</v>
      </c>
      <c r="L9">
        <f>$E9*562</f>
        <v>2410.98</v>
      </c>
      <c r="M9">
        <f>$E9*639</f>
        <v>2741.31</v>
      </c>
      <c r="N9">
        <f>$E9*639</f>
        <v>2741.31</v>
      </c>
      <c r="O9">
        <f aca="true" t="shared" si="0" ref="O9:O14">AVERAGE(I9:N9)</f>
        <v>2562.56</v>
      </c>
      <c r="P9">
        <f aca="true" t="shared" si="1" ref="P9:P14">STDEV(I9:N9)/SQRT(6)</f>
        <v>60.918671357802936</v>
      </c>
      <c r="Q9" s="1" t="s">
        <v>134</v>
      </c>
    </row>
    <row r="10" spans="4:18" ht="15">
      <c r="D10" s="1" t="s">
        <v>136</v>
      </c>
      <c r="E10">
        <v>37.8</v>
      </c>
      <c r="I10">
        <f aca="true" t="shared" si="2" ref="I10:J14">$E10*591</f>
        <v>22339.8</v>
      </c>
      <c r="J10">
        <f t="shared" si="2"/>
        <v>22339.8</v>
      </c>
      <c r="K10">
        <f aca="true" t="shared" si="3" ref="K10:L14">$E10*562</f>
        <v>21243.6</v>
      </c>
      <c r="L10">
        <f t="shared" si="3"/>
        <v>21243.6</v>
      </c>
      <c r="M10">
        <f aca="true" t="shared" si="4" ref="M10:N14">$E10*639</f>
        <v>24154.199999999997</v>
      </c>
      <c r="N10">
        <f t="shared" si="4"/>
        <v>24154.199999999997</v>
      </c>
      <c r="O10">
        <f t="shared" si="0"/>
        <v>22579.199999999997</v>
      </c>
      <c r="P10">
        <f t="shared" si="1"/>
        <v>536.7659154603613</v>
      </c>
      <c r="R10" s="12"/>
    </row>
    <row r="11" spans="2:16" ht="15">
      <c r="B11">
        <v>0.286</v>
      </c>
      <c r="D11" s="1" t="s">
        <v>137</v>
      </c>
      <c r="E11">
        <v>12.2</v>
      </c>
      <c r="F11">
        <f aca="true" t="shared" si="5" ref="F11:F29">E11/B11</f>
        <v>42.65734265734266</v>
      </c>
      <c r="I11">
        <f t="shared" si="2"/>
        <v>7210.2</v>
      </c>
      <c r="J11">
        <f t="shared" si="2"/>
        <v>7210.2</v>
      </c>
      <c r="K11">
        <f t="shared" si="3"/>
        <v>6856.4</v>
      </c>
      <c r="L11">
        <f t="shared" si="3"/>
        <v>6856.4</v>
      </c>
      <c r="M11">
        <f t="shared" si="4"/>
        <v>7795.799999999999</v>
      </c>
      <c r="N11">
        <f t="shared" si="4"/>
        <v>7795.799999999999</v>
      </c>
      <c r="O11">
        <f t="shared" si="0"/>
        <v>7287.466666666667</v>
      </c>
      <c r="P11">
        <f t="shared" si="1"/>
        <v>173.24190922265632</v>
      </c>
    </row>
    <row r="12" spans="2:16" ht="15">
      <c r="B12">
        <v>5</v>
      </c>
      <c r="D12" s="1" t="s">
        <v>138</v>
      </c>
      <c r="E12">
        <v>14.2</v>
      </c>
      <c r="F12">
        <f t="shared" si="5"/>
        <v>2.84</v>
      </c>
      <c r="I12">
        <f t="shared" si="2"/>
        <v>8392.199999999999</v>
      </c>
      <c r="J12">
        <f t="shared" si="2"/>
        <v>8392.199999999999</v>
      </c>
      <c r="K12">
        <f t="shared" si="3"/>
        <v>7980.4</v>
      </c>
      <c r="L12">
        <f t="shared" si="3"/>
        <v>7980.4</v>
      </c>
      <c r="M12">
        <f t="shared" si="4"/>
        <v>9073.8</v>
      </c>
      <c r="N12">
        <f t="shared" si="4"/>
        <v>9073.8</v>
      </c>
      <c r="O12">
        <f t="shared" si="0"/>
        <v>8482.133333333333</v>
      </c>
      <c r="P12">
        <f t="shared" si="1"/>
        <v>201.64222220997706</v>
      </c>
    </row>
    <row r="13" spans="2:16" ht="15">
      <c r="B13">
        <v>1</v>
      </c>
      <c r="D13" s="1" t="s">
        <v>139</v>
      </c>
      <c r="E13">
        <v>2.25</v>
      </c>
      <c r="F13">
        <f t="shared" si="5"/>
        <v>2.25</v>
      </c>
      <c r="I13">
        <f t="shared" si="2"/>
        <v>1329.75</v>
      </c>
      <c r="J13">
        <f t="shared" si="2"/>
        <v>1329.75</v>
      </c>
      <c r="K13">
        <f t="shared" si="3"/>
        <v>1264.5</v>
      </c>
      <c r="L13">
        <f t="shared" si="3"/>
        <v>1264.5</v>
      </c>
      <c r="M13">
        <f t="shared" si="4"/>
        <v>1437.75</v>
      </c>
      <c r="N13">
        <f t="shared" si="4"/>
        <v>1437.75</v>
      </c>
      <c r="O13">
        <f t="shared" si="0"/>
        <v>1344</v>
      </c>
      <c r="P13">
        <f t="shared" si="1"/>
        <v>31.95035211073581</v>
      </c>
    </row>
    <row r="14" spans="2:16" ht="15">
      <c r="B14">
        <v>1.714</v>
      </c>
      <c r="D14" s="1" t="s">
        <v>140</v>
      </c>
      <c r="E14">
        <v>0.074</v>
      </c>
      <c r="F14">
        <f t="shared" si="5"/>
        <v>0.043173862310385065</v>
      </c>
      <c r="H14" s="1"/>
      <c r="I14">
        <f t="shared" si="2"/>
        <v>43.733999999999995</v>
      </c>
      <c r="J14">
        <f t="shared" si="2"/>
        <v>43.733999999999995</v>
      </c>
      <c r="K14">
        <f t="shared" si="3"/>
        <v>41.588</v>
      </c>
      <c r="L14">
        <f t="shared" si="3"/>
        <v>41.588</v>
      </c>
      <c r="M14">
        <f t="shared" si="4"/>
        <v>47.285999999999994</v>
      </c>
      <c r="N14">
        <f t="shared" si="4"/>
        <v>47.285999999999994</v>
      </c>
      <c r="O14">
        <f t="shared" si="0"/>
        <v>44.20266666666666</v>
      </c>
      <c r="P14">
        <f t="shared" si="1"/>
        <v>1.0508115805308655</v>
      </c>
    </row>
    <row r="15" spans="2:6" ht="15">
      <c r="B15">
        <v>2.474</v>
      </c>
      <c r="D15" s="1" t="s">
        <v>141</v>
      </c>
      <c r="F15">
        <f t="shared" si="5"/>
        <v>0</v>
      </c>
    </row>
    <row r="16" spans="2:17" ht="15">
      <c r="B16">
        <f>SUM(B9:B14)</f>
        <v>8</v>
      </c>
      <c r="D16" s="1" t="s">
        <v>142</v>
      </c>
      <c r="E16">
        <f>SUM(E9:E14)</f>
        <v>70.814</v>
      </c>
      <c r="F16">
        <f t="shared" si="5"/>
        <v>8.85175</v>
      </c>
      <c r="I16">
        <f aca="true" t="shared" si="6" ref="I16:N16">SUM(I9:I14)</f>
        <v>41851.07399999999</v>
      </c>
      <c r="J16">
        <f t="shared" si="6"/>
        <v>41851.07399999999</v>
      </c>
      <c r="K16">
        <f t="shared" si="6"/>
        <v>39797.468</v>
      </c>
      <c r="L16">
        <f t="shared" si="6"/>
        <v>39797.468</v>
      </c>
      <c r="M16">
        <f t="shared" si="6"/>
        <v>45250.146</v>
      </c>
      <c r="N16">
        <f t="shared" si="6"/>
        <v>45250.146</v>
      </c>
      <c r="O16">
        <f aca="true" t="shared" si="7" ref="O16:O29">AVERAGE(I16:N16)</f>
        <v>42299.562666666665</v>
      </c>
      <c r="P16">
        <f aca="true" t="shared" si="8" ref="P16:P29">STDEV(I16:N16)/SQRT(6)</f>
        <v>1005.569881942065</v>
      </c>
      <c r="Q16">
        <f>O16*100/O29</f>
        <v>74.65578678811647</v>
      </c>
    </row>
    <row r="17" ht="15">
      <c r="D17" s="1"/>
    </row>
    <row r="18" spans="3:17" ht="15">
      <c r="C18" s="1" t="s">
        <v>143</v>
      </c>
      <c r="D18" s="30" t="s">
        <v>144</v>
      </c>
      <c r="E18" s="32"/>
      <c r="Q18" s="1" t="s">
        <v>143</v>
      </c>
    </row>
    <row r="19" spans="2:16" ht="15">
      <c r="B19">
        <v>7</v>
      </c>
      <c r="D19" s="30" t="s">
        <v>145</v>
      </c>
      <c r="E19" s="32">
        <v>18.7</v>
      </c>
      <c r="F19">
        <f t="shared" si="5"/>
        <v>2.6714285714285713</v>
      </c>
      <c r="I19">
        <f>$E19*591</f>
        <v>11051.699999999999</v>
      </c>
      <c r="J19">
        <f>$E19*591</f>
        <v>11051.699999999999</v>
      </c>
      <c r="K19">
        <f>$E19*562</f>
        <v>10509.4</v>
      </c>
      <c r="L19">
        <f>$E19*562</f>
        <v>10509.4</v>
      </c>
      <c r="M19">
        <f>$E19*639</f>
        <v>11949.3</v>
      </c>
      <c r="N19">
        <f>$E19*639</f>
        <v>11949.3</v>
      </c>
      <c r="O19">
        <f t="shared" si="7"/>
        <v>11170.133333333333</v>
      </c>
      <c r="P19">
        <f t="shared" si="8"/>
        <v>265.5429264314487</v>
      </c>
    </row>
    <row r="20" spans="2:16" ht="15">
      <c r="B20">
        <v>1.525</v>
      </c>
      <c r="D20" s="30" t="s">
        <v>146</v>
      </c>
      <c r="E20" s="32">
        <v>0.16</v>
      </c>
      <c r="F20">
        <f t="shared" si="5"/>
        <v>0.10491803278688526</v>
      </c>
      <c r="I20">
        <f>$E20*591</f>
        <v>94.56</v>
      </c>
      <c r="J20">
        <f>$E20*591</f>
        <v>94.56</v>
      </c>
      <c r="K20">
        <f>$E20*562</f>
        <v>89.92</v>
      </c>
      <c r="L20">
        <f>$E20*562</f>
        <v>89.92</v>
      </c>
      <c r="M20">
        <f>$E20*639</f>
        <v>102.24000000000001</v>
      </c>
      <c r="N20">
        <f>$E20*639</f>
        <v>102.24000000000001</v>
      </c>
      <c r="O20">
        <f t="shared" si="7"/>
        <v>95.57333333333334</v>
      </c>
      <c r="P20">
        <f t="shared" si="8"/>
        <v>2.272025038985659</v>
      </c>
    </row>
    <row r="21" spans="4:5" ht="15">
      <c r="D21" s="30" t="s">
        <v>147</v>
      </c>
      <c r="E21" s="32"/>
    </row>
    <row r="22" spans="2:17" ht="15">
      <c r="B22">
        <f>B19+B20</f>
        <v>8.525</v>
      </c>
      <c r="D22" s="30" t="s">
        <v>142</v>
      </c>
      <c r="E22">
        <f>E19+E20</f>
        <v>18.86</v>
      </c>
      <c r="F22">
        <f t="shared" si="5"/>
        <v>2.2123167155425216</v>
      </c>
      <c r="I22">
        <f aca="true" t="shared" si="9" ref="I22:N22">I19+I20</f>
        <v>11146.259999999998</v>
      </c>
      <c r="J22">
        <f t="shared" si="9"/>
        <v>11146.259999999998</v>
      </c>
      <c r="K22">
        <f t="shared" si="9"/>
        <v>10599.32</v>
      </c>
      <c r="L22">
        <f t="shared" si="9"/>
        <v>10599.32</v>
      </c>
      <c r="M22">
        <f t="shared" si="9"/>
        <v>12051.539999999999</v>
      </c>
      <c r="N22">
        <f t="shared" si="9"/>
        <v>12051.539999999999</v>
      </c>
      <c r="O22">
        <f t="shared" si="7"/>
        <v>11265.706666666665</v>
      </c>
      <c r="P22">
        <f t="shared" si="8"/>
        <v>267.8149514704343</v>
      </c>
      <c r="Q22">
        <f>O22*100/O29</f>
        <v>19.883188900837073</v>
      </c>
    </row>
    <row r="23" spans="4:5" ht="15">
      <c r="D23" s="30"/>
      <c r="E23" s="32"/>
    </row>
    <row r="24" spans="2:17" ht="15">
      <c r="B24">
        <v>20</v>
      </c>
      <c r="C24" s="1" t="s">
        <v>148</v>
      </c>
      <c r="D24" s="31" t="s">
        <v>149</v>
      </c>
      <c r="E24" s="12">
        <v>3.26</v>
      </c>
      <c r="F24">
        <f t="shared" si="5"/>
        <v>0.16299999999999998</v>
      </c>
      <c r="I24">
        <f>$E24*591</f>
        <v>1926.6599999999999</v>
      </c>
      <c r="J24">
        <f>$E24*591</f>
        <v>1926.6599999999999</v>
      </c>
      <c r="K24">
        <f>$E24*562</f>
        <v>1832.12</v>
      </c>
      <c r="L24">
        <f>$E24*562</f>
        <v>1832.12</v>
      </c>
      <c r="M24">
        <f>$E24*639</f>
        <v>2083.14</v>
      </c>
      <c r="N24">
        <f>$E24*639</f>
        <v>2083.14</v>
      </c>
      <c r="O24">
        <f t="shared" si="7"/>
        <v>1947.3066666666664</v>
      </c>
      <c r="P24">
        <f t="shared" si="8"/>
        <v>46.292510169332765</v>
      </c>
      <c r="Q24" s="1" t="s">
        <v>148</v>
      </c>
    </row>
    <row r="25" spans="2:16" ht="15">
      <c r="B25">
        <v>1</v>
      </c>
      <c r="D25" s="31" t="s">
        <v>150</v>
      </c>
      <c r="E25" s="12">
        <v>1.92</v>
      </c>
      <c r="F25">
        <f t="shared" si="5"/>
        <v>1.92</v>
      </c>
      <c r="I25">
        <f>$E25*591</f>
        <v>1134.72</v>
      </c>
      <c r="J25">
        <f>$E25*591</f>
        <v>1134.72</v>
      </c>
      <c r="K25">
        <f>$E25*562</f>
        <v>1079.04</v>
      </c>
      <c r="L25">
        <f>$E25*562</f>
        <v>1079.04</v>
      </c>
      <c r="M25">
        <f>$E25*639</f>
        <v>1226.8799999999999</v>
      </c>
      <c r="N25">
        <f>$E25*639</f>
        <v>1226.8799999999999</v>
      </c>
      <c r="O25">
        <f t="shared" si="7"/>
        <v>1146.88</v>
      </c>
      <c r="P25">
        <f t="shared" si="8"/>
        <v>27.264300467827873</v>
      </c>
    </row>
    <row r="26" spans="4:5" ht="15">
      <c r="D26" s="31" t="s">
        <v>151</v>
      </c>
      <c r="E26" s="12"/>
    </row>
    <row r="27" spans="2:17" ht="15">
      <c r="B27">
        <f>B24+B25</f>
        <v>21</v>
      </c>
      <c r="D27" s="31" t="s">
        <v>142</v>
      </c>
      <c r="E27">
        <f>E24+E25</f>
        <v>5.18</v>
      </c>
      <c r="F27">
        <f t="shared" si="5"/>
        <v>0.24666666666666665</v>
      </c>
      <c r="I27">
        <f aca="true" t="shared" si="10" ref="I27:N27">I24+I25</f>
        <v>3061.38</v>
      </c>
      <c r="J27">
        <f t="shared" si="10"/>
        <v>3061.38</v>
      </c>
      <c r="K27">
        <f t="shared" si="10"/>
        <v>2911.16</v>
      </c>
      <c r="L27">
        <f t="shared" si="10"/>
        <v>2911.16</v>
      </c>
      <c r="M27">
        <f t="shared" si="10"/>
        <v>3310.0199999999995</v>
      </c>
      <c r="N27">
        <f t="shared" si="10"/>
        <v>3310.0199999999995</v>
      </c>
      <c r="O27">
        <f t="shared" si="7"/>
        <v>3094.1866666666665</v>
      </c>
      <c r="P27">
        <f t="shared" si="8"/>
        <v>73.5568106371606</v>
      </c>
      <c r="Q27">
        <f>O27*100/O29</f>
        <v>5.46102431104645</v>
      </c>
    </row>
    <row r="28" spans="4:5" ht="15">
      <c r="D28" s="31"/>
      <c r="E28" s="12"/>
    </row>
    <row r="29" spans="2:16" ht="15">
      <c r="B29">
        <f>B16+B22+B27</f>
        <v>37.525</v>
      </c>
      <c r="D29" s="31" t="s">
        <v>152</v>
      </c>
      <c r="E29">
        <f>E16+E22+E27</f>
        <v>94.85399999999998</v>
      </c>
      <c r="F29">
        <f t="shared" si="5"/>
        <v>2.5277548301132575</v>
      </c>
      <c r="I29">
        <f aca="true" t="shared" si="11" ref="I29:N29">I16+I22+I27</f>
        <v>56058.713999999985</v>
      </c>
      <c r="J29">
        <f t="shared" si="11"/>
        <v>56058.713999999985</v>
      </c>
      <c r="K29">
        <f t="shared" si="11"/>
        <v>53307.948000000004</v>
      </c>
      <c r="L29">
        <f t="shared" si="11"/>
        <v>53307.948000000004</v>
      </c>
      <c r="M29">
        <f t="shared" si="11"/>
        <v>60611.706</v>
      </c>
      <c r="N29">
        <f t="shared" si="11"/>
        <v>60611.706</v>
      </c>
      <c r="O29">
        <f t="shared" si="7"/>
        <v>56659.456</v>
      </c>
      <c r="P29">
        <f t="shared" si="8"/>
        <v>1346.9416440496593</v>
      </c>
    </row>
    <row r="34" spans="7:16" ht="15">
      <c r="G34" t="s">
        <v>89</v>
      </c>
      <c r="I34">
        <v>7</v>
      </c>
      <c r="J34">
        <v>8</v>
      </c>
      <c r="K34">
        <v>9</v>
      </c>
      <c r="L34">
        <v>10</v>
      </c>
      <c r="M34" s="11">
        <v>11</v>
      </c>
      <c r="N34">
        <v>12</v>
      </c>
      <c r="O34" t="s">
        <v>126</v>
      </c>
      <c r="P34" t="s">
        <v>127</v>
      </c>
    </row>
    <row r="35" spans="5:16" ht="15">
      <c r="E35" s="1"/>
      <c r="H35" t="s">
        <v>130</v>
      </c>
      <c r="I35">
        <v>404</v>
      </c>
      <c r="J35">
        <v>404</v>
      </c>
      <c r="K35">
        <v>439</v>
      </c>
      <c r="L35">
        <v>439</v>
      </c>
      <c r="M35" s="11">
        <v>421</v>
      </c>
      <c r="N35">
        <v>421</v>
      </c>
      <c r="O35">
        <f>AVERAGE(I35:N35)</f>
        <v>421.3333333333333</v>
      </c>
      <c r="P35">
        <f>STDEV(I35:N35)/SQRT(6)</f>
        <v>6.390965845976996</v>
      </c>
    </row>
    <row r="36" spans="5:14" ht="15">
      <c r="E36" s="1" t="s">
        <v>132</v>
      </c>
      <c r="F36" s="1"/>
      <c r="G36" s="1"/>
      <c r="H36" s="1"/>
      <c r="I36" s="1"/>
      <c r="J36" s="1"/>
      <c r="K36" s="1"/>
      <c r="L36" s="1"/>
      <c r="M36" s="30"/>
      <c r="N36" s="30"/>
    </row>
    <row r="37" spans="3:17" ht="15">
      <c r="C37" s="1" t="s">
        <v>134</v>
      </c>
      <c r="D37" s="1" t="s">
        <v>135</v>
      </c>
      <c r="E37">
        <v>4.29</v>
      </c>
      <c r="I37">
        <f>$E37*404</f>
        <v>1733.16</v>
      </c>
      <c r="J37">
        <f>$E37*404</f>
        <v>1733.16</v>
      </c>
      <c r="K37">
        <f>$E37*439</f>
        <v>1883.31</v>
      </c>
      <c r="L37">
        <f>$E37*439</f>
        <v>1883.31</v>
      </c>
      <c r="M37">
        <f>$E37*421</f>
        <v>1806.09</v>
      </c>
      <c r="N37">
        <f>$E37*421</f>
        <v>1806.09</v>
      </c>
      <c r="O37">
        <f aca="true" t="shared" si="12" ref="O37:O42">AVERAGE(I37:N37)</f>
        <v>1807.5200000000002</v>
      </c>
      <c r="P37">
        <f aca="true" t="shared" si="13" ref="P37:P42">STDEV(I37:N37)/SQRT(6)</f>
        <v>27.41724347924129</v>
      </c>
      <c r="Q37" s="1" t="s">
        <v>134</v>
      </c>
    </row>
    <row r="38" spans="4:16" ht="15">
      <c r="D38" s="1" t="s">
        <v>136</v>
      </c>
      <c r="E38">
        <v>37.8</v>
      </c>
      <c r="I38">
        <f aca="true" t="shared" si="14" ref="I38:J42">$E38*404</f>
        <v>15271.199999999999</v>
      </c>
      <c r="J38">
        <f t="shared" si="14"/>
        <v>15271.199999999999</v>
      </c>
      <c r="K38">
        <f aca="true" t="shared" si="15" ref="K38:L42">$E38*439</f>
        <v>16594.199999999997</v>
      </c>
      <c r="L38">
        <f t="shared" si="15"/>
        <v>16594.199999999997</v>
      </c>
      <c r="M38">
        <f aca="true" t="shared" si="16" ref="M38:N42">$E38*421</f>
        <v>15913.8</v>
      </c>
      <c r="N38">
        <f t="shared" si="16"/>
        <v>15913.8</v>
      </c>
      <c r="O38">
        <f t="shared" si="12"/>
        <v>15926.4</v>
      </c>
      <c r="P38">
        <f t="shared" si="13"/>
        <v>241.57850897793008</v>
      </c>
    </row>
    <row r="39" spans="4:16" ht="15">
      <c r="D39" s="1" t="s">
        <v>137</v>
      </c>
      <c r="E39">
        <v>12.2</v>
      </c>
      <c r="I39">
        <f t="shared" si="14"/>
        <v>4928.799999999999</v>
      </c>
      <c r="J39">
        <f t="shared" si="14"/>
        <v>4928.799999999999</v>
      </c>
      <c r="K39">
        <f t="shared" si="15"/>
        <v>5355.799999999999</v>
      </c>
      <c r="L39">
        <f t="shared" si="15"/>
        <v>5355.799999999999</v>
      </c>
      <c r="M39">
        <f t="shared" si="16"/>
        <v>5136.2</v>
      </c>
      <c r="N39">
        <f t="shared" si="16"/>
        <v>5136.2</v>
      </c>
      <c r="O39">
        <f t="shared" si="12"/>
        <v>5140.266666666666</v>
      </c>
      <c r="P39">
        <f t="shared" si="13"/>
        <v>77.96978332091935</v>
      </c>
    </row>
    <row r="40" spans="4:16" ht="15">
      <c r="D40" s="1" t="s">
        <v>138</v>
      </c>
      <c r="E40">
        <v>14.2</v>
      </c>
      <c r="I40">
        <f t="shared" si="14"/>
        <v>5736.799999999999</v>
      </c>
      <c r="J40">
        <f t="shared" si="14"/>
        <v>5736.799999999999</v>
      </c>
      <c r="K40">
        <f t="shared" si="15"/>
        <v>6233.799999999999</v>
      </c>
      <c r="L40">
        <f t="shared" si="15"/>
        <v>6233.799999999999</v>
      </c>
      <c r="M40">
        <f t="shared" si="16"/>
        <v>5978.2</v>
      </c>
      <c r="N40">
        <f t="shared" si="16"/>
        <v>5978.2</v>
      </c>
      <c r="O40">
        <f t="shared" si="12"/>
        <v>5982.933333333333</v>
      </c>
      <c r="P40">
        <f t="shared" si="13"/>
        <v>90.75171501287333</v>
      </c>
    </row>
    <row r="41" spans="4:16" ht="15">
      <c r="D41" s="1" t="s">
        <v>139</v>
      </c>
      <c r="E41">
        <v>2.25</v>
      </c>
      <c r="I41">
        <f t="shared" si="14"/>
        <v>909</v>
      </c>
      <c r="J41">
        <f t="shared" si="14"/>
        <v>909</v>
      </c>
      <c r="K41">
        <f t="shared" si="15"/>
        <v>987.75</v>
      </c>
      <c r="L41">
        <f t="shared" si="15"/>
        <v>987.75</v>
      </c>
      <c r="M41">
        <f t="shared" si="16"/>
        <v>947.25</v>
      </c>
      <c r="N41">
        <f t="shared" si="16"/>
        <v>947.25</v>
      </c>
      <c r="O41">
        <f t="shared" si="12"/>
        <v>948</v>
      </c>
      <c r="P41">
        <f t="shared" si="13"/>
        <v>14.37967315344824</v>
      </c>
    </row>
    <row r="42" spans="4:16" ht="15">
      <c r="D42" s="1" t="s">
        <v>140</v>
      </c>
      <c r="E42">
        <v>0.074</v>
      </c>
      <c r="H42" s="1"/>
      <c r="I42">
        <f t="shared" si="14"/>
        <v>29.895999999999997</v>
      </c>
      <c r="J42">
        <f t="shared" si="14"/>
        <v>29.895999999999997</v>
      </c>
      <c r="K42">
        <f t="shared" si="15"/>
        <v>32.486</v>
      </c>
      <c r="L42">
        <f t="shared" si="15"/>
        <v>32.486</v>
      </c>
      <c r="M42">
        <f t="shared" si="16"/>
        <v>31.154</v>
      </c>
      <c r="N42">
        <f t="shared" si="16"/>
        <v>31.154</v>
      </c>
      <c r="O42">
        <f t="shared" si="12"/>
        <v>31.17866666666666</v>
      </c>
      <c r="P42">
        <f t="shared" si="13"/>
        <v>0.4729314726022977</v>
      </c>
    </row>
    <row r="43" ht="15">
      <c r="D43" s="1" t="s">
        <v>141</v>
      </c>
    </row>
    <row r="44" spans="4:17" ht="15">
      <c r="D44" s="1" t="s">
        <v>142</v>
      </c>
      <c r="E44">
        <f>SUM(E37:E42)</f>
        <v>70.814</v>
      </c>
      <c r="I44">
        <f aca="true" t="shared" si="17" ref="I44:N44">SUM(I37:I42)</f>
        <v>28608.856</v>
      </c>
      <c r="J44">
        <f t="shared" si="17"/>
        <v>28608.856</v>
      </c>
      <c r="K44">
        <f t="shared" si="17"/>
        <v>31087.345999999998</v>
      </c>
      <c r="L44">
        <f t="shared" si="17"/>
        <v>31087.345999999998</v>
      </c>
      <c r="M44">
        <f t="shared" si="17"/>
        <v>29812.694</v>
      </c>
      <c r="N44">
        <f t="shared" si="17"/>
        <v>29812.694</v>
      </c>
      <c r="O44">
        <f>AVERAGE(I44:N44)</f>
        <v>29836.29866666666</v>
      </c>
      <c r="P44">
        <f>STDEV(I44:N44)/SQRT(6)</f>
        <v>452.56985541701465</v>
      </c>
      <c r="Q44">
        <f>O44*100/O57</f>
        <v>74.65578678811646</v>
      </c>
    </row>
    <row r="45" ht="15">
      <c r="D45" s="1"/>
    </row>
    <row r="46" spans="4:17" ht="15">
      <c r="D46" s="30" t="s">
        <v>144</v>
      </c>
      <c r="E46" s="32"/>
      <c r="Q46" s="1" t="s">
        <v>143</v>
      </c>
    </row>
    <row r="47" spans="3:16" ht="15">
      <c r="C47" s="1" t="s">
        <v>143</v>
      </c>
      <c r="D47" s="30" t="s">
        <v>145</v>
      </c>
      <c r="E47" s="32">
        <v>18.7</v>
      </c>
      <c r="I47">
        <f>$E47*404</f>
        <v>7554.799999999999</v>
      </c>
      <c r="J47">
        <f>$E47*404</f>
        <v>7554.799999999999</v>
      </c>
      <c r="K47">
        <f>$E47*439</f>
        <v>8209.3</v>
      </c>
      <c r="L47">
        <f>$E47*439</f>
        <v>8209.3</v>
      </c>
      <c r="M47">
        <f>$E47*421</f>
        <v>7872.7</v>
      </c>
      <c r="N47">
        <f>$E47*421</f>
        <v>7872.7</v>
      </c>
      <c r="O47">
        <f>AVERAGE(I47:N47)</f>
        <v>7878.933333333332</v>
      </c>
      <c r="P47">
        <f>STDEV(I47:N47)/SQRT(6)</f>
        <v>119.5110613197698</v>
      </c>
    </row>
    <row r="48" spans="4:16" ht="15">
      <c r="D48" s="30" t="s">
        <v>146</v>
      </c>
      <c r="E48" s="32">
        <v>0.16</v>
      </c>
      <c r="I48">
        <f>$E48*404</f>
        <v>64.64</v>
      </c>
      <c r="J48">
        <f>$E48*404</f>
        <v>64.64</v>
      </c>
      <c r="K48">
        <f>$E48*439</f>
        <v>70.24</v>
      </c>
      <c r="L48">
        <f>$E48*439</f>
        <v>70.24</v>
      </c>
      <c r="M48">
        <f>$E48*421</f>
        <v>67.36</v>
      </c>
      <c r="N48">
        <f>$E48*421</f>
        <v>67.36</v>
      </c>
      <c r="O48">
        <f>AVERAGE(I48:N48)</f>
        <v>67.41333333333334</v>
      </c>
      <c r="P48">
        <f>STDEV(I48:N48)/SQRT(6)</f>
        <v>1.0225545353563181</v>
      </c>
    </row>
    <row r="49" spans="4:5" ht="15">
      <c r="D49" s="30" t="s">
        <v>147</v>
      </c>
      <c r="E49" s="32"/>
    </row>
    <row r="50" spans="4:18" ht="15">
      <c r="D50" s="30" t="s">
        <v>142</v>
      </c>
      <c r="E50">
        <f>E47+E48</f>
        <v>18.86</v>
      </c>
      <c r="I50">
        <f aca="true" t="shared" si="18" ref="I50:N50">I47+I48</f>
        <v>7619.44</v>
      </c>
      <c r="J50">
        <f t="shared" si="18"/>
        <v>7619.44</v>
      </c>
      <c r="K50">
        <f t="shared" si="18"/>
        <v>8279.539999999999</v>
      </c>
      <c r="L50">
        <f t="shared" si="18"/>
        <v>8279.539999999999</v>
      </c>
      <c r="M50">
        <f t="shared" si="18"/>
        <v>7940.0599999999995</v>
      </c>
      <c r="N50">
        <f t="shared" si="18"/>
        <v>7940.0599999999995</v>
      </c>
      <c r="O50">
        <f>AVERAGE(I50:N50)</f>
        <v>7946.346666666665</v>
      </c>
      <c r="P50">
        <f>STDEV(I50:N50)/SQRT(6)</f>
        <v>120.53361585512603</v>
      </c>
      <c r="Q50">
        <f>O50*100/O57</f>
        <v>19.883188900837073</v>
      </c>
      <c r="R50" s="31"/>
    </row>
    <row r="51" spans="4:18" ht="15">
      <c r="D51" s="30"/>
      <c r="E51" s="32"/>
      <c r="R51" s="31"/>
    </row>
    <row r="52" spans="3:17" ht="15">
      <c r="C52" s="1" t="s">
        <v>148</v>
      </c>
      <c r="D52" s="31" t="s">
        <v>149</v>
      </c>
      <c r="E52" s="12">
        <v>3.26</v>
      </c>
      <c r="I52">
        <f>$E52*404</f>
        <v>1317.04</v>
      </c>
      <c r="J52">
        <f>$E52*404</f>
        <v>1317.04</v>
      </c>
      <c r="K52">
        <f>$E52*439</f>
        <v>1431.1399999999999</v>
      </c>
      <c r="L52">
        <f>$E52*439</f>
        <v>1431.1399999999999</v>
      </c>
      <c r="M52">
        <f>$E52*421</f>
        <v>1372.4599999999998</v>
      </c>
      <c r="N52">
        <f>$E52*421</f>
        <v>1372.4599999999998</v>
      </c>
      <c r="O52">
        <f>AVERAGE(I52:N52)</f>
        <v>1373.5466666666664</v>
      </c>
      <c r="P52">
        <f>STDEV(I52:N52)/SQRT(6)</f>
        <v>20.83454865788499</v>
      </c>
      <c r="Q52" s="1" t="s">
        <v>148</v>
      </c>
    </row>
    <row r="53" spans="4:18" ht="15">
      <c r="D53" s="31" t="s">
        <v>150</v>
      </c>
      <c r="E53" s="12">
        <v>1.92</v>
      </c>
      <c r="I53">
        <f>$E53*404</f>
        <v>775.68</v>
      </c>
      <c r="J53">
        <f>$E53*404</f>
        <v>775.68</v>
      </c>
      <c r="K53">
        <f>$E53*439</f>
        <v>842.88</v>
      </c>
      <c r="L53">
        <f>$E53*439</f>
        <v>842.88</v>
      </c>
      <c r="M53">
        <f>$E53*421</f>
        <v>808.3199999999999</v>
      </c>
      <c r="N53">
        <f>$E53*421</f>
        <v>808.3199999999999</v>
      </c>
      <c r="O53">
        <f>AVERAGE(I53:N53)</f>
        <v>808.9599999999999</v>
      </c>
      <c r="P53">
        <f>STDEV(I53:N53)/SQRT(6)</f>
        <v>12.27065442427584</v>
      </c>
      <c r="R53" s="12"/>
    </row>
    <row r="54" spans="4:5" ht="15">
      <c r="D54" s="31" t="s">
        <v>151</v>
      </c>
      <c r="E54" s="12"/>
    </row>
    <row r="55" spans="4:17" ht="15">
      <c r="D55" s="31" t="s">
        <v>142</v>
      </c>
      <c r="E55">
        <f>E52+E53</f>
        <v>5.18</v>
      </c>
      <c r="I55">
        <f aca="true" t="shared" si="19" ref="I55:N55">I52+I53</f>
        <v>2092.72</v>
      </c>
      <c r="J55">
        <f t="shared" si="19"/>
        <v>2092.72</v>
      </c>
      <c r="K55">
        <f t="shared" si="19"/>
        <v>2274.02</v>
      </c>
      <c r="L55">
        <f t="shared" si="19"/>
        <v>2274.02</v>
      </c>
      <c r="M55">
        <f t="shared" si="19"/>
        <v>2180.7799999999997</v>
      </c>
      <c r="N55">
        <f t="shared" si="19"/>
        <v>2180.7799999999997</v>
      </c>
      <c r="O55">
        <f>AVERAGE(I55:N55)</f>
        <v>2182.506666666666</v>
      </c>
      <c r="P55">
        <f>STDEV(I55:N55)/SQRT(6)</f>
        <v>33.10520308216086</v>
      </c>
      <c r="Q55">
        <f>O55*100/O57</f>
        <v>5.46102431104645</v>
      </c>
    </row>
    <row r="56" spans="4:5" ht="15">
      <c r="D56" s="31"/>
      <c r="E56" s="12"/>
    </row>
    <row r="57" spans="4:16" ht="15">
      <c r="D57" s="31" t="s">
        <v>152</v>
      </c>
      <c r="E57">
        <f>E44+E50+E55</f>
        <v>94.85399999999998</v>
      </c>
      <c r="I57">
        <f aca="true" t="shared" si="20" ref="I57:N57">I44+I50+I55</f>
        <v>38321.016</v>
      </c>
      <c r="J57">
        <f t="shared" si="20"/>
        <v>38321.016</v>
      </c>
      <c r="K57">
        <f t="shared" si="20"/>
        <v>41640.905999999995</v>
      </c>
      <c r="L57">
        <f t="shared" si="20"/>
        <v>41640.905999999995</v>
      </c>
      <c r="M57">
        <f t="shared" si="20"/>
        <v>39933.534</v>
      </c>
      <c r="N57">
        <f t="shared" si="20"/>
        <v>39933.534</v>
      </c>
      <c r="O57">
        <f>AVERAGE(I57:N57)</f>
        <v>39965.151999999995</v>
      </c>
      <c r="P57">
        <f>STDEV(I57:N57)/SQRT(6)</f>
        <v>606.2086743543005</v>
      </c>
    </row>
  </sheetData>
  <sheetProtection/>
  <mergeCells count="1">
    <mergeCell ref="D4:J4"/>
  </mergeCells>
  <printOptions/>
  <pageMargins left="0.7500000000000001" right="0.7500000000000001" top="1" bottom="1" header="0.5" footer="0.5"/>
  <pageSetup fitToHeight="1" fitToWidth="1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54"/>
  <sheetViews>
    <sheetView zoomScale="70" zoomScaleNormal="70" zoomScalePageLayoutView="0" workbookViewId="0" topLeftCell="A4">
      <selection activeCell="B4" sqref="B4:R58"/>
    </sheetView>
  </sheetViews>
  <sheetFormatPr defaultColWidth="11.421875" defaultRowHeight="15"/>
  <sheetData>
    <row r="2" spans="18:25" ht="15">
      <c r="R2" s="33"/>
      <c r="S2" s="33"/>
      <c r="T2" s="33"/>
      <c r="U2" s="33"/>
      <c r="V2" s="33"/>
      <c r="W2" s="33"/>
      <c r="X2" s="33"/>
      <c r="Y2" s="33"/>
    </row>
    <row r="3" spans="6:25" ht="15">
      <c r="F3" t="s">
        <v>67</v>
      </c>
      <c r="H3">
        <v>1</v>
      </c>
      <c r="I3">
        <v>2</v>
      </c>
      <c r="J3">
        <v>3</v>
      </c>
      <c r="K3">
        <v>4</v>
      </c>
      <c r="L3">
        <v>5</v>
      </c>
      <c r="M3">
        <v>6</v>
      </c>
      <c r="N3" t="s">
        <v>126</v>
      </c>
      <c r="O3" t="s">
        <v>127</v>
      </c>
      <c r="P3" t="s">
        <v>92</v>
      </c>
      <c r="R3" s="33"/>
      <c r="S3" s="33"/>
      <c r="T3" s="33" t="s">
        <v>153</v>
      </c>
      <c r="U3" s="33" t="s">
        <v>154</v>
      </c>
      <c r="V3" s="33" t="s">
        <v>155</v>
      </c>
      <c r="W3" s="33" t="s">
        <v>156</v>
      </c>
      <c r="X3" s="33"/>
      <c r="Y3" s="33"/>
    </row>
    <row r="4" spans="4:25" ht="15">
      <c r="D4" s="1"/>
      <c r="G4" t="s">
        <v>130</v>
      </c>
      <c r="H4">
        <v>591</v>
      </c>
      <c r="I4">
        <v>591</v>
      </c>
      <c r="J4">
        <v>592</v>
      </c>
      <c r="K4">
        <v>562</v>
      </c>
      <c r="L4">
        <v>639</v>
      </c>
      <c r="M4">
        <v>639</v>
      </c>
      <c r="N4">
        <f>AVERAGE(H4:M4)</f>
        <v>602.3333333333334</v>
      </c>
      <c r="O4">
        <f>STDEV(H4:M4)/SQRT(6)</f>
        <v>12.489106364259126</v>
      </c>
      <c r="P4" s="1"/>
      <c r="R4" s="33"/>
      <c r="S4" s="33"/>
      <c r="T4" s="33"/>
      <c r="U4" s="33"/>
      <c r="V4" s="33"/>
      <c r="W4" s="33"/>
      <c r="X4" s="33"/>
      <c r="Y4" s="33"/>
    </row>
    <row r="5" spans="4:25" ht="15">
      <c r="D5" s="1" t="s">
        <v>132</v>
      </c>
      <c r="E5" s="1"/>
      <c r="F5" s="1"/>
      <c r="G5" s="1"/>
      <c r="H5" s="1"/>
      <c r="I5" s="1"/>
      <c r="J5" s="1"/>
      <c r="K5" s="1"/>
      <c r="L5" s="30"/>
      <c r="M5" s="30"/>
      <c r="P5" s="31"/>
      <c r="R5" s="33"/>
      <c r="S5" s="33"/>
      <c r="T5" s="33"/>
      <c r="U5" s="33"/>
      <c r="V5" s="33"/>
      <c r="W5" s="33"/>
      <c r="X5" s="33"/>
      <c r="Y5" s="33"/>
    </row>
    <row r="6" spans="2:25" ht="15">
      <c r="B6" s="1" t="s">
        <v>134</v>
      </c>
      <c r="C6" s="1" t="s">
        <v>135</v>
      </c>
      <c r="D6">
        <v>4.29</v>
      </c>
      <c r="H6">
        <f>$D6*591</f>
        <v>2535.39</v>
      </c>
      <c r="I6">
        <f>$D6*591</f>
        <v>2535.39</v>
      </c>
      <c r="J6">
        <f>$D6*562</f>
        <v>2410.98</v>
      </c>
      <c r="K6">
        <f>$D6*562</f>
        <v>2410.98</v>
      </c>
      <c r="L6">
        <f>$D6*639</f>
        <v>2741.31</v>
      </c>
      <c r="M6">
        <f>$D6*639</f>
        <v>2741.31</v>
      </c>
      <c r="N6">
        <f aca="true" t="shared" si="0" ref="N6:N11">AVERAGE(H6:M6)</f>
        <v>2562.56</v>
      </c>
      <c r="O6">
        <f aca="true" t="shared" si="1" ref="O6:O11">STDEV(H6:M6)/SQRT(6)</f>
        <v>60.918671357802936</v>
      </c>
      <c r="P6" s="1" t="s">
        <v>134</v>
      </c>
      <c r="R6" s="33"/>
      <c r="S6" s="34" t="s">
        <v>135</v>
      </c>
      <c r="T6" s="33">
        <v>2562.56</v>
      </c>
      <c r="U6" s="33">
        <v>2661</v>
      </c>
      <c r="V6" s="33">
        <f>T6/U6</f>
        <v>0.9630063885757234</v>
      </c>
      <c r="W6" s="33">
        <f>V6*100</f>
        <v>96.30063885757234</v>
      </c>
      <c r="X6" s="33"/>
      <c r="Y6" s="33"/>
    </row>
    <row r="7" spans="3:25" ht="15">
      <c r="C7" s="1" t="s">
        <v>136</v>
      </c>
      <c r="D7">
        <v>37.8</v>
      </c>
      <c r="H7">
        <f aca="true" t="shared" si="2" ref="H7:I11">$D7*591</f>
        <v>22339.8</v>
      </c>
      <c r="I7">
        <f t="shared" si="2"/>
        <v>22339.8</v>
      </c>
      <c r="J7">
        <f aca="true" t="shared" si="3" ref="J7:K11">$D7*562</f>
        <v>21243.6</v>
      </c>
      <c r="K7">
        <f t="shared" si="3"/>
        <v>21243.6</v>
      </c>
      <c r="L7">
        <f aca="true" t="shared" si="4" ref="L7:M11">$D7*639</f>
        <v>24154.199999999997</v>
      </c>
      <c r="M7">
        <f t="shared" si="4"/>
        <v>24154.199999999997</v>
      </c>
      <c r="N7">
        <f t="shared" si="0"/>
        <v>22579.199999999997</v>
      </c>
      <c r="O7">
        <f t="shared" si="1"/>
        <v>536.7659154603613</v>
      </c>
      <c r="R7" s="33"/>
      <c r="S7" s="34" t="s">
        <v>136</v>
      </c>
      <c r="T7" s="33">
        <v>22579.2</v>
      </c>
      <c r="U7" s="33">
        <v>15833</v>
      </c>
      <c r="V7" s="33">
        <f aca="true" t="shared" si="5" ref="V7:V23">T7/U7</f>
        <v>1.4260847596791513</v>
      </c>
      <c r="W7" s="33">
        <f aca="true" t="shared" si="6" ref="W7:W23">V7*100</f>
        <v>142.60847596791513</v>
      </c>
      <c r="X7" s="33"/>
      <c r="Y7" s="33"/>
    </row>
    <row r="8" spans="3:25" ht="15">
      <c r="C8" s="1" t="s">
        <v>137</v>
      </c>
      <c r="D8">
        <v>12.2</v>
      </c>
      <c r="H8">
        <f t="shared" si="2"/>
        <v>7210.2</v>
      </c>
      <c r="I8">
        <f t="shared" si="2"/>
        <v>7210.2</v>
      </c>
      <c r="J8">
        <f t="shared" si="3"/>
        <v>6856.4</v>
      </c>
      <c r="K8">
        <f t="shared" si="3"/>
        <v>6856.4</v>
      </c>
      <c r="L8">
        <f t="shared" si="4"/>
        <v>7795.799999999999</v>
      </c>
      <c r="M8">
        <f t="shared" si="4"/>
        <v>7795.799999999999</v>
      </c>
      <c r="N8">
        <f t="shared" si="0"/>
        <v>7287.466666666667</v>
      </c>
      <c r="O8">
        <f t="shared" si="1"/>
        <v>173.24190922265632</v>
      </c>
      <c r="R8" s="33"/>
      <c r="S8" s="34" t="s">
        <v>137</v>
      </c>
      <c r="T8" s="33">
        <v>7287.466666666669</v>
      </c>
      <c r="U8" s="33">
        <v>7535</v>
      </c>
      <c r="V8" s="33">
        <f t="shared" si="5"/>
        <v>0.9671488608714889</v>
      </c>
      <c r="W8" s="33">
        <f t="shared" si="6"/>
        <v>96.71488608714888</v>
      </c>
      <c r="X8" s="33"/>
      <c r="Y8" s="33"/>
    </row>
    <row r="9" spans="3:25" ht="15">
      <c r="C9" s="1" t="s">
        <v>138</v>
      </c>
      <c r="D9">
        <v>14.2</v>
      </c>
      <c r="H9">
        <f t="shared" si="2"/>
        <v>8392.199999999999</v>
      </c>
      <c r="I9">
        <f t="shared" si="2"/>
        <v>8392.199999999999</v>
      </c>
      <c r="J9">
        <f t="shared" si="3"/>
        <v>7980.4</v>
      </c>
      <c r="K9">
        <f t="shared" si="3"/>
        <v>7980.4</v>
      </c>
      <c r="L9">
        <f t="shared" si="4"/>
        <v>9073.8</v>
      </c>
      <c r="M9">
        <f t="shared" si="4"/>
        <v>9073.8</v>
      </c>
      <c r="N9">
        <f t="shared" si="0"/>
        <v>8482.133333333333</v>
      </c>
      <c r="O9">
        <f t="shared" si="1"/>
        <v>201.64222220997706</v>
      </c>
      <c r="R9" s="33"/>
      <c r="S9" s="34" t="s">
        <v>138</v>
      </c>
      <c r="T9" s="33">
        <v>8482.133333333333</v>
      </c>
      <c r="U9" s="33">
        <v>40492</v>
      </c>
      <c r="V9" s="33">
        <f t="shared" si="5"/>
        <v>0.2094767690737265</v>
      </c>
      <c r="W9" s="33">
        <f t="shared" si="6"/>
        <v>20.94767690737265</v>
      </c>
      <c r="X9" s="33"/>
      <c r="Y9" s="33"/>
    </row>
    <row r="10" spans="3:25" ht="15">
      <c r="C10" s="1" t="s">
        <v>139</v>
      </c>
      <c r="D10">
        <v>2.25</v>
      </c>
      <c r="H10">
        <f t="shared" si="2"/>
        <v>1329.75</v>
      </c>
      <c r="I10">
        <f t="shared" si="2"/>
        <v>1329.75</v>
      </c>
      <c r="J10">
        <f t="shared" si="3"/>
        <v>1264.5</v>
      </c>
      <c r="K10">
        <f t="shared" si="3"/>
        <v>1264.5</v>
      </c>
      <c r="L10">
        <f t="shared" si="4"/>
        <v>1437.75</v>
      </c>
      <c r="M10">
        <f t="shared" si="4"/>
        <v>1437.75</v>
      </c>
      <c r="N10">
        <f t="shared" si="0"/>
        <v>1344</v>
      </c>
      <c r="O10">
        <f t="shared" si="1"/>
        <v>31.95035211073581</v>
      </c>
      <c r="R10" s="33"/>
      <c r="S10" s="34" t="s">
        <v>139</v>
      </c>
      <c r="T10" s="33">
        <v>1344</v>
      </c>
      <c r="U10" s="33">
        <v>16237</v>
      </c>
      <c r="V10" s="33">
        <f t="shared" si="5"/>
        <v>0.08277391143684178</v>
      </c>
      <c r="W10" s="33">
        <f t="shared" si="6"/>
        <v>8.277391143684177</v>
      </c>
      <c r="X10" s="33"/>
      <c r="Y10" s="33"/>
    </row>
    <row r="11" spans="3:25" ht="15">
      <c r="C11" s="1" t="s">
        <v>140</v>
      </c>
      <c r="D11">
        <v>0.074</v>
      </c>
      <c r="G11" s="1"/>
      <c r="H11">
        <f t="shared" si="2"/>
        <v>43.733999999999995</v>
      </c>
      <c r="I11">
        <f t="shared" si="2"/>
        <v>43.733999999999995</v>
      </c>
      <c r="J11">
        <f t="shared" si="3"/>
        <v>41.588</v>
      </c>
      <c r="K11">
        <f t="shared" si="3"/>
        <v>41.588</v>
      </c>
      <c r="L11">
        <f t="shared" si="4"/>
        <v>47.285999999999994</v>
      </c>
      <c r="M11">
        <f t="shared" si="4"/>
        <v>47.285999999999994</v>
      </c>
      <c r="N11">
        <f t="shared" si="0"/>
        <v>44.20266666666666</v>
      </c>
      <c r="O11">
        <f t="shared" si="1"/>
        <v>1.0508115805308655</v>
      </c>
      <c r="R11" s="33"/>
      <c r="S11" s="34" t="s">
        <v>140</v>
      </c>
      <c r="T11" s="33">
        <v>44.202666666666644</v>
      </c>
      <c r="U11" s="33">
        <v>2211</v>
      </c>
      <c r="V11" s="33">
        <f t="shared" si="5"/>
        <v>0.019992160410070847</v>
      </c>
      <c r="W11" s="33">
        <f t="shared" si="6"/>
        <v>1.9992160410070847</v>
      </c>
      <c r="X11" s="33"/>
      <c r="Y11" s="33"/>
    </row>
    <row r="12" spans="3:25" ht="15">
      <c r="C12" s="1" t="s">
        <v>141</v>
      </c>
      <c r="R12" s="33"/>
      <c r="S12" s="34" t="s">
        <v>141</v>
      </c>
      <c r="T12" s="33">
        <v>0</v>
      </c>
      <c r="U12" s="33">
        <v>3607</v>
      </c>
      <c r="V12" s="33">
        <f t="shared" si="5"/>
        <v>0</v>
      </c>
      <c r="W12" s="33">
        <f t="shared" si="6"/>
        <v>0</v>
      </c>
      <c r="X12" s="33"/>
      <c r="Y12" s="33"/>
    </row>
    <row r="13" spans="3:25" ht="15">
      <c r="C13" s="1" t="s">
        <v>142</v>
      </c>
      <c r="D13">
        <f>SUM(D6:D11)</f>
        <v>70.814</v>
      </c>
      <c r="H13">
        <f aca="true" t="shared" si="7" ref="H13:M13">SUM(H6:H11)</f>
        <v>41851.07399999999</v>
      </c>
      <c r="I13">
        <f t="shared" si="7"/>
        <v>41851.07399999999</v>
      </c>
      <c r="J13">
        <f t="shared" si="7"/>
        <v>39797.468</v>
      </c>
      <c r="K13">
        <f t="shared" si="7"/>
        <v>39797.468</v>
      </c>
      <c r="L13">
        <f t="shared" si="7"/>
        <v>45250.146</v>
      </c>
      <c r="M13">
        <f t="shared" si="7"/>
        <v>45250.146</v>
      </c>
      <c r="N13">
        <f aca="true" t="shared" si="8" ref="N13:N26">AVERAGE(H13:M13)</f>
        <v>42299.562666666665</v>
      </c>
      <c r="O13">
        <f aca="true" t="shared" si="9" ref="O13:O26">STDEV(H13:M13)/SQRT(6)</f>
        <v>1005.569881942065</v>
      </c>
      <c r="P13">
        <f>N13*100/N26</f>
        <v>74.65578678811647</v>
      </c>
      <c r="R13" s="33"/>
      <c r="S13" s="34"/>
      <c r="T13" s="33"/>
      <c r="U13" s="33"/>
      <c r="V13" s="33"/>
      <c r="W13" s="33"/>
      <c r="X13" s="33"/>
      <c r="Y13" s="33"/>
    </row>
    <row r="14" spans="3:25" ht="15">
      <c r="C14" s="1"/>
      <c r="R14" s="33"/>
      <c r="S14" s="34"/>
      <c r="T14" s="33"/>
      <c r="U14" s="33"/>
      <c r="V14" s="33"/>
      <c r="W14" s="33"/>
      <c r="X14" s="33"/>
      <c r="Y14" s="33"/>
    </row>
    <row r="15" spans="2:25" ht="15">
      <c r="B15" s="1" t="s">
        <v>143</v>
      </c>
      <c r="C15" s="30" t="s">
        <v>144</v>
      </c>
      <c r="D15" s="32"/>
      <c r="P15" s="1" t="s">
        <v>143</v>
      </c>
      <c r="R15" s="33"/>
      <c r="S15" s="35" t="s">
        <v>144</v>
      </c>
      <c r="T15" s="33">
        <v>0</v>
      </c>
      <c r="U15" s="33">
        <v>3163</v>
      </c>
      <c r="V15" s="33">
        <f t="shared" si="5"/>
        <v>0</v>
      </c>
      <c r="W15" s="33">
        <f t="shared" si="6"/>
        <v>0</v>
      </c>
      <c r="X15" s="33"/>
      <c r="Y15" s="33"/>
    </row>
    <row r="16" spans="3:25" ht="15">
      <c r="C16" s="30" t="s">
        <v>145</v>
      </c>
      <c r="D16" s="32">
        <v>18.7</v>
      </c>
      <c r="H16">
        <f>$D16*591</f>
        <v>11051.699999999999</v>
      </c>
      <c r="I16">
        <f>$D16*591</f>
        <v>11051.699999999999</v>
      </c>
      <c r="J16">
        <f>$D16*562</f>
        <v>10509.4</v>
      </c>
      <c r="K16">
        <f>$D16*562</f>
        <v>10509.4</v>
      </c>
      <c r="L16">
        <f>$D16*639</f>
        <v>11949.3</v>
      </c>
      <c r="M16">
        <f>$D16*639</f>
        <v>11949.3</v>
      </c>
      <c r="N16">
        <f t="shared" si="8"/>
        <v>11170.133333333333</v>
      </c>
      <c r="O16">
        <f t="shared" si="9"/>
        <v>265.5429264314487</v>
      </c>
      <c r="R16" s="33"/>
      <c r="S16" s="35" t="s">
        <v>145</v>
      </c>
      <c r="T16" s="33">
        <v>11170.13333333333</v>
      </c>
      <c r="U16" s="33">
        <v>58713</v>
      </c>
      <c r="V16" s="33">
        <f t="shared" si="5"/>
        <v>0.19024974593928654</v>
      </c>
      <c r="W16" s="33">
        <f t="shared" si="6"/>
        <v>19.024974593928654</v>
      </c>
      <c r="X16" s="33"/>
      <c r="Y16" s="33"/>
    </row>
    <row r="17" spans="3:25" ht="15">
      <c r="C17" s="30" t="s">
        <v>146</v>
      </c>
      <c r="D17" s="32">
        <v>0.16</v>
      </c>
      <c r="H17">
        <f>$D17*591</f>
        <v>94.56</v>
      </c>
      <c r="I17">
        <f>$D17*591</f>
        <v>94.56</v>
      </c>
      <c r="J17">
        <f>$D17*562</f>
        <v>89.92</v>
      </c>
      <c r="K17">
        <f>$D17*562</f>
        <v>89.92</v>
      </c>
      <c r="L17">
        <f>$D17*639</f>
        <v>102.24000000000001</v>
      </c>
      <c r="M17">
        <f>$D17*639</f>
        <v>102.24000000000001</v>
      </c>
      <c r="N17">
        <f t="shared" si="8"/>
        <v>95.57333333333334</v>
      </c>
      <c r="O17">
        <f t="shared" si="9"/>
        <v>2.272025038985659</v>
      </c>
      <c r="R17" s="33"/>
      <c r="S17" s="35" t="s">
        <v>146</v>
      </c>
      <c r="T17" s="33">
        <v>95.57333333333332</v>
      </c>
      <c r="U17" s="33">
        <v>2356</v>
      </c>
      <c r="V17" s="33">
        <f t="shared" si="5"/>
        <v>0.040565930956423316</v>
      </c>
      <c r="W17" s="33">
        <f t="shared" si="6"/>
        <v>4.056593095642332</v>
      </c>
      <c r="X17" s="33"/>
      <c r="Y17" s="33"/>
    </row>
    <row r="18" spans="3:25" ht="15">
      <c r="C18" s="30" t="s">
        <v>147</v>
      </c>
      <c r="D18" s="32"/>
      <c r="R18" s="33"/>
      <c r="S18" s="35" t="s">
        <v>147</v>
      </c>
      <c r="T18" s="33">
        <v>0</v>
      </c>
      <c r="U18" s="33">
        <v>1522</v>
      </c>
      <c r="V18" s="33">
        <f t="shared" si="5"/>
        <v>0</v>
      </c>
      <c r="W18" s="33">
        <f t="shared" si="6"/>
        <v>0</v>
      </c>
      <c r="X18" s="33"/>
      <c r="Y18" s="33"/>
    </row>
    <row r="19" spans="3:25" ht="15">
      <c r="C19" s="30" t="s">
        <v>142</v>
      </c>
      <c r="D19">
        <f>D16+D17</f>
        <v>18.86</v>
      </c>
      <c r="H19">
        <f aca="true" t="shared" si="10" ref="H19:M19">H16+H17</f>
        <v>11146.259999999998</v>
      </c>
      <c r="I19">
        <f t="shared" si="10"/>
        <v>11146.259999999998</v>
      </c>
      <c r="J19">
        <f t="shared" si="10"/>
        <v>10599.32</v>
      </c>
      <c r="K19">
        <f t="shared" si="10"/>
        <v>10599.32</v>
      </c>
      <c r="L19">
        <f t="shared" si="10"/>
        <v>12051.539999999999</v>
      </c>
      <c r="M19">
        <f t="shared" si="10"/>
        <v>12051.539999999999</v>
      </c>
      <c r="N19">
        <f t="shared" si="8"/>
        <v>11265.706666666665</v>
      </c>
      <c r="O19">
        <f t="shared" si="9"/>
        <v>267.8149514704343</v>
      </c>
      <c r="P19">
        <f>N19*100/N26</f>
        <v>19.883188900837073</v>
      </c>
      <c r="R19" s="33"/>
      <c r="S19" s="35"/>
      <c r="T19" s="33"/>
      <c r="U19" s="33"/>
      <c r="V19" s="33"/>
      <c r="W19" s="33"/>
      <c r="X19" s="33"/>
      <c r="Y19" s="33"/>
    </row>
    <row r="20" spans="3:25" ht="15">
      <c r="C20" s="30"/>
      <c r="D20" s="32"/>
      <c r="R20" s="33"/>
      <c r="S20" s="35"/>
      <c r="T20" s="33"/>
      <c r="U20" s="33"/>
      <c r="V20" s="33"/>
      <c r="W20" s="33"/>
      <c r="X20" s="33"/>
      <c r="Y20" s="33"/>
    </row>
    <row r="21" spans="2:25" ht="15">
      <c r="B21" s="1" t="s">
        <v>148</v>
      </c>
      <c r="C21" s="31" t="s">
        <v>149</v>
      </c>
      <c r="D21" s="12">
        <v>3.26</v>
      </c>
      <c r="H21">
        <f>$D21*591</f>
        <v>1926.6599999999999</v>
      </c>
      <c r="I21">
        <f>$D21*591</f>
        <v>1926.6599999999999</v>
      </c>
      <c r="J21">
        <f>$D21*562</f>
        <v>1832.12</v>
      </c>
      <c r="K21">
        <f>$D21*562</f>
        <v>1832.12</v>
      </c>
      <c r="L21">
        <f>$D21*639</f>
        <v>2083.14</v>
      </c>
      <c r="M21">
        <f>$D21*639</f>
        <v>2083.14</v>
      </c>
      <c r="N21">
        <f t="shared" si="8"/>
        <v>1947.3066666666664</v>
      </c>
      <c r="O21">
        <f t="shared" si="9"/>
        <v>46.292510169332765</v>
      </c>
      <c r="P21" s="1" t="s">
        <v>148</v>
      </c>
      <c r="R21" s="33"/>
      <c r="S21" s="36" t="s">
        <v>149</v>
      </c>
      <c r="T21" s="33">
        <v>1947.3066666666662</v>
      </c>
      <c r="U21" s="33">
        <v>18624</v>
      </c>
      <c r="V21" s="33">
        <f t="shared" si="5"/>
        <v>0.10455899198167237</v>
      </c>
      <c r="W21" s="33">
        <f t="shared" si="6"/>
        <v>10.455899198167238</v>
      </c>
      <c r="X21" s="33"/>
      <c r="Y21" s="33"/>
    </row>
    <row r="22" spans="3:25" ht="15">
      <c r="C22" s="31" t="s">
        <v>150</v>
      </c>
      <c r="D22" s="12">
        <v>1.92</v>
      </c>
      <c r="H22">
        <f>$D22*591</f>
        <v>1134.72</v>
      </c>
      <c r="I22">
        <f>$D22*591</f>
        <v>1134.72</v>
      </c>
      <c r="J22">
        <f>$D22*562</f>
        <v>1079.04</v>
      </c>
      <c r="K22">
        <f>$D22*562</f>
        <v>1079.04</v>
      </c>
      <c r="L22">
        <f>$D22*639</f>
        <v>1226.8799999999999</v>
      </c>
      <c r="M22">
        <f>$D22*639</f>
        <v>1226.8799999999999</v>
      </c>
      <c r="N22">
        <f t="shared" si="8"/>
        <v>1146.88</v>
      </c>
      <c r="O22">
        <f t="shared" si="9"/>
        <v>27.264300467827873</v>
      </c>
      <c r="R22" s="33"/>
      <c r="S22" s="36" t="s">
        <v>150</v>
      </c>
      <c r="T22" s="33">
        <v>1146.88</v>
      </c>
      <c r="U22" s="33">
        <v>1652</v>
      </c>
      <c r="V22" s="33">
        <f t="shared" si="5"/>
        <v>0.6942372881355933</v>
      </c>
      <c r="W22" s="33">
        <f t="shared" si="6"/>
        <v>69.42372881355932</v>
      </c>
      <c r="X22" s="33"/>
      <c r="Y22" s="33"/>
    </row>
    <row r="23" spans="3:25" ht="15">
      <c r="C23" s="31" t="s">
        <v>151</v>
      </c>
      <c r="D23" s="12"/>
      <c r="R23" s="33"/>
      <c r="S23" s="36" t="s">
        <v>151</v>
      </c>
      <c r="T23" s="33">
        <v>0</v>
      </c>
      <c r="U23" s="33">
        <v>1262</v>
      </c>
      <c r="V23" s="33">
        <f t="shared" si="5"/>
        <v>0</v>
      </c>
      <c r="W23" s="33">
        <f t="shared" si="6"/>
        <v>0</v>
      </c>
      <c r="X23" s="33"/>
      <c r="Y23" s="33"/>
    </row>
    <row r="24" spans="3:25" ht="15">
      <c r="C24" s="31" t="s">
        <v>142</v>
      </c>
      <c r="D24">
        <f>D21+D22</f>
        <v>5.18</v>
      </c>
      <c r="H24">
        <f aca="true" t="shared" si="11" ref="H24:M24">H21+H22</f>
        <v>3061.38</v>
      </c>
      <c r="I24">
        <f t="shared" si="11"/>
        <v>3061.38</v>
      </c>
      <c r="J24">
        <f t="shared" si="11"/>
        <v>2911.16</v>
      </c>
      <c r="K24">
        <f t="shared" si="11"/>
        <v>2911.16</v>
      </c>
      <c r="L24">
        <f t="shared" si="11"/>
        <v>3310.0199999999995</v>
      </c>
      <c r="M24">
        <f t="shared" si="11"/>
        <v>3310.0199999999995</v>
      </c>
      <c r="N24">
        <f t="shared" si="8"/>
        <v>3094.1866666666665</v>
      </c>
      <c r="O24">
        <f t="shared" si="9"/>
        <v>73.5568106371606</v>
      </c>
      <c r="P24">
        <f>N24*100/N26</f>
        <v>5.46102431104645</v>
      </c>
      <c r="R24" s="33"/>
      <c r="S24" s="36"/>
      <c r="T24" s="33"/>
      <c r="U24" s="33"/>
      <c r="V24" s="33"/>
      <c r="W24" s="33"/>
      <c r="X24" s="33"/>
      <c r="Y24" s="33"/>
    </row>
    <row r="25" spans="3:25" ht="15">
      <c r="C25" s="31"/>
      <c r="D25" s="12"/>
      <c r="R25" s="33"/>
      <c r="S25" s="36"/>
      <c r="T25" s="33"/>
      <c r="U25" s="33"/>
      <c r="V25" s="33"/>
      <c r="W25" s="33"/>
      <c r="X25" s="33"/>
      <c r="Y25" s="33"/>
    </row>
    <row r="26" spans="3:25" ht="15">
      <c r="C26" s="31" t="s">
        <v>152</v>
      </c>
      <c r="D26">
        <f>D13+D19+D24</f>
        <v>94.85399999999998</v>
      </c>
      <c r="H26">
        <f aca="true" t="shared" si="12" ref="H26:M26">H13+H19+H24</f>
        <v>56058.713999999985</v>
      </c>
      <c r="I26">
        <f t="shared" si="12"/>
        <v>56058.713999999985</v>
      </c>
      <c r="J26">
        <f t="shared" si="12"/>
        <v>53307.948000000004</v>
      </c>
      <c r="K26">
        <f t="shared" si="12"/>
        <v>53307.948000000004</v>
      </c>
      <c r="L26">
        <f t="shared" si="12"/>
        <v>60611.706</v>
      </c>
      <c r="M26">
        <f t="shared" si="12"/>
        <v>60611.706</v>
      </c>
      <c r="N26">
        <f t="shared" si="8"/>
        <v>56659.456</v>
      </c>
      <c r="O26">
        <f t="shared" si="9"/>
        <v>1346.9416440496593</v>
      </c>
      <c r="R26" s="33"/>
      <c r="S26" s="36"/>
      <c r="T26" s="33"/>
      <c r="U26" s="33"/>
      <c r="V26" s="33"/>
      <c r="W26" s="33"/>
      <c r="X26" s="33"/>
      <c r="Y26" s="33"/>
    </row>
    <row r="27" spans="18:25" ht="15">
      <c r="R27" s="33"/>
      <c r="S27" s="33"/>
      <c r="T27" s="33"/>
      <c r="U27" s="33"/>
      <c r="V27" s="33"/>
      <c r="W27" s="33"/>
      <c r="X27" s="33"/>
      <c r="Y27" s="33"/>
    </row>
    <row r="28" spans="18:25" ht="15">
      <c r="R28" s="33"/>
      <c r="S28" s="33"/>
      <c r="T28" s="33"/>
      <c r="U28" s="33"/>
      <c r="V28" s="33"/>
      <c r="W28" s="33"/>
      <c r="X28" s="33"/>
      <c r="Y28" s="33"/>
    </row>
    <row r="29" spans="18:25" ht="15">
      <c r="R29" s="33"/>
      <c r="S29" s="33"/>
      <c r="T29" s="33"/>
      <c r="U29" s="33"/>
      <c r="V29" s="33"/>
      <c r="W29" s="33"/>
      <c r="X29" s="33"/>
      <c r="Y29" s="33"/>
    </row>
    <row r="30" spans="18:25" ht="15">
      <c r="R30" s="33"/>
      <c r="S30" s="33"/>
      <c r="T30" s="33"/>
      <c r="U30" s="33"/>
      <c r="V30" s="33"/>
      <c r="W30" s="33"/>
      <c r="X30" s="33"/>
      <c r="Y30" s="33"/>
    </row>
    <row r="31" spans="6:25" ht="15">
      <c r="F31" t="s">
        <v>89</v>
      </c>
      <c r="H31">
        <v>7</v>
      </c>
      <c r="I31">
        <v>8</v>
      </c>
      <c r="J31">
        <v>9</v>
      </c>
      <c r="K31">
        <v>10</v>
      </c>
      <c r="L31" s="12">
        <v>11</v>
      </c>
      <c r="M31">
        <v>12</v>
      </c>
      <c r="N31" t="s">
        <v>126</v>
      </c>
      <c r="O31" t="s">
        <v>127</v>
      </c>
      <c r="R31" s="33"/>
      <c r="S31" s="33"/>
      <c r="T31" s="33" t="s">
        <v>157</v>
      </c>
      <c r="U31" s="33" t="s">
        <v>158</v>
      </c>
      <c r="V31" s="33" t="s">
        <v>155</v>
      </c>
      <c r="W31" s="33" t="s">
        <v>156</v>
      </c>
      <c r="X31" s="33"/>
      <c r="Y31" s="33"/>
    </row>
    <row r="32" spans="4:25" ht="15">
      <c r="D32" s="1"/>
      <c r="G32" t="s">
        <v>130</v>
      </c>
      <c r="H32">
        <v>404</v>
      </c>
      <c r="I32">
        <v>404</v>
      </c>
      <c r="J32">
        <v>439</v>
      </c>
      <c r="K32">
        <v>439</v>
      </c>
      <c r="L32" s="12">
        <v>421</v>
      </c>
      <c r="M32">
        <v>421</v>
      </c>
      <c r="N32">
        <f>AVERAGE(H32:M32)</f>
        <v>421.3333333333333</v>
      </c>
      <c r="O32">
        <f>STDEV(H32:M32)/SQRT(6)</f>
        <v>6.390965845976996</v>
      </c>
      <c r="R32" s="33"/>
      <c r="S32" s="33"/>
      <c r="T32" s="33"/>
      <c r="U32" s="33"/>
      <c r="V32" s="33"/>
      <c r="W32" s="33"/>
      <c r="X32" s="33"/>
      <c r="Y32" s="33"/>
    </row>
    <row r="33" spans="4:25" ht="15">
      <c r="D33" s="1" t="s">
        <v>132</v>
      </c>
      <c r="E33" s="1"/>
      <c r="F33" s="1"/>
      <c r="G33" s="1"/>
      <c r="H33" s="1"/>
      <c r="I33" s="1"/>
      <c r="J33" s="1"/>
      <c r="K33" s="1"/>
      <c r="L33" s="30"/>
      <c r="M33" s="30"/>
      <c r="R33" s="33"/>
      <c r="S33" s="33"/>
      <c r="T33" s="33"/>
      <c r="U33" s="33"/>
      <c r="V33" s="33"/>
      <c r="W33" s="33"/>
      <c r="X33" s="33"/>
      <c r="Y33" s="33"/>
    </row>
    <row r="34" spans="2:25" ht="15">
      <c r="B34" s="1" t="s">
        <v>134</v>
      </c>
      <c r="C34" s="1" t="s">
        <v>135</v>
      </c>
      <c r="D34">
        <v>4.29</v>
      </c>
      <c r="H34">
        <f>$D34*404</f>
        <v>1733.16</v>
      </c>
      <c r="I34">
        <f>$D34*404</f>
        <v>1733.16</v>
      </c>
      <c r="J34">
        <f>$D34*439</f>
        <v>1883.31</v>
      </c>
      <c r="K34">
        <f>$D34*439</f>
        <v>1883.31</v>
      </c>
      <c r="L34">
        <f>$D34*421</f>
        <v>1806.09</v>
      </c>
      <c r="M34">
        <f>$D34*421</f>
        <v>1806.09</v>
      </c>
      <c r="N34">
        <f aca="true" t="shared" si="13" ref="N34:N39">AVERAGE(H34:M34)</f>
        <v>1807.5200000000002</v>
      </c>
      <c r="O34">
        <f aca="true" t="shared" si="14" ref="O34:O39">STDEV(H34:M34)/SQRT(6)</f>
        <v>27.41724347924129</v>
      </c>
      <c r="P34" s="1" t="s">
        <v>134</v>
      </c>
      <c r="R34" s="33"/>
      <c r="S34" s="34" t="s">
        <v>135</v>
      </c>
      <c r="T34" s="33">
        <f aca="true" t="shared" si="15" ref="T34:T39">AVERAGE(N34:S34)</f>
        <v>917.4686217396207</v>
      </c>
      <c r="U34" s="33">
        <v>2242.28</v>
      </c>
      <c r="V34" s="33">
        <f>T34/U34</f>
        <v>0.40916773183528404</v>
      </c>
      <c r="W34" s="33">
        <f aca="true" t="shared" si="16" ref="W34:W51">V34*100</f>
        <v>40.916773183528406</v>
      </c>
      <c r="X34" s="33"/>
      <c r="Y34" s="33"/>
    </row>
    <row r="35" spans="3:25" ht="15">
      <c r="C35" s="1" t="s">
        <v>136</v>
      </c>
      <c r="D35">
        <v>37.8</v>
      </c>
      <c r="H35">
        <f aca="true" t="shared" si="17" ref="H35:I39">$D35*404</f>
        <v>15271.199999999999</v>
      </c>
      <c r="I35">
        <f t="shared" si="17"/>
        <v>15271.199999999999</v>
      </c>
      <c r="J35">
        <f aca="true" t="shared" si="18" ref="J35:K39">$D35*439</f>
        <v>16594.199999999997</v>
      </c>
      <c r="K35">
        <f t="shared" si="18"/>
        <v>16594.199999999997</v>
      </c>
      <c r="L35">
        <f aca="true" t="shared" si="19" ref="L35:M39">$D35*421</f>
        <v>15913.8</v>
      </c>
      <c r="M35">
        <f t="shared" si="19"/>
        <v>15913.8</v>
      </c>
      <c r="N35">
        <f t="shared" si="13"/>
        <v>15926.4</v>
      </c>
      <c r="O35">
        <f t="shared" si="14"/>
        <v>241.57850897793008</v>
      </c>
      <c r="R35" s="33"/>
      <c r="S35" s="34" t="s">
        <v>136</v>
      </c>
      <c r="T35" s="33">
        <f t="shared" si="15"/>
        <v>8083.989254488964</v>
      </c>
      <c r="U35" s="33">
        <v>13220</v>
      </c>
      <c r="V35" s="33">
        <f aca="true" t="shared" si="20" ref="V35:V51">T35/U35</f>
        <v>0.6114969178887265</v>
      </c>
      <c r="W35" s="33">
        <f t="shared" si="16"/>
        <v>61.14969178887265</v>
      </c>
      <c r="X35" s="33"/>
      <c r="Y35" s="33"/>
    </row>
    <row r="36" spans="3:25" ht="15">
      <c r="C36" s="1" t="s">
        <v>137</v>
      </c>
      <c r="D36">
        <v>12.2</v>
      </c>
      <c r="H36">
        <f t="shared" si="17"/>
        <v>4928.799999999999</v>
      </c>
      <c r="I36">
        <f t="shared" si="17"/>
        <v>4928.799999999999</v>
      </c>
      <c r="J36">
        <f t="shared" si="18"/>
        <v>5355.799999999999</v>
      </c>
      <c r="K36">
        <f t="shared" si="18"/>
        <v>5355.799999999999</v>
      </c>
      <c r="L36">
        <f t="shared" si="19"/>
        <v>5136.2</v>
      </c>
      <c r="M36">
        <f t="shared" si="19"/>
        <v>5136.2</v>
      </c>
      <c r="N36">
        <f t="shared" si="13"/>
        <v>5140.266666666666</v>
      </c>
      <c r="O36">
        <f t="shared" si="14"/>
        <v>77.96978332091935</v>
      </c>
      <c r="R36" s="33"/>
      <c r="S36" s="34" t="s">
        <v>137</v>
      </c>
      <c r="T36" s="33">
        <f t="shared" si="15"/>
        <v>2609.118224993793</v>
      </c>
      <c r="U36" s="33">
        <v>6401</v>
      </c>
      <c r="V36" s="33">
        <f t="shared" si="20"/>
        <v>0.4076110334313065</v>
      </c>
      <c r="W36" s="33">
        <f t="shared" si="16"/>
        <v>40.76110334313065</v>
      </c>
      <c r="X36" s="33"/>
      <c r="Y36" s="33"/>
    </row>
    <row r="37" spans="3:25" ht="15">
      <c r="C37" s="1" t="s">
        <v>138</v>
      </c>
      <c r="D37">
        <v>14.2</v>
      </c>
      <c r="H37">
        <f t="shared" si="17"/>
        <v>5736.799999999999</v>
      </c>
      <c r="I37">
        <f t="shared" si="17"/>
        <v>5736.799999999999</v>
      </c>
      <c r="J37">
        <f t="shared" si="18"/>
        <v>6233.799999999999</v>
      </c>
      <c r="K37">
        <f t="shared" si="18"/>
        <v>6233.799999999999</v>
      </c>
      <c r="L37">
        <f t="shared" si="19"/>
        <v>5978.2</v>
      </c>
      <c r="M37">
        <f t="shared" si="19"/>
        <v>5978.2</v>
      </c>
      <c r="N37">
        <f t="shared" si="13"/>
        <v>5982.933333333333</v>
      </c>
      <c r="O37">
        <f t="shared" si="14"/>
        <v>90.75171501287333</v>
      </c>
      <c r="R37" s="33"/>
      <c r="S37" s="34" t="s">
        <v>138</v>
      </c>
      <c r="T37" s="33">
        <f t="shared" si="15"/>
        <v>3036.8425241731034</v>
      </c>
      <c r="U37" s="33">
        <v>32039</v>
      </c>
      <c r="V37" s="33">
        <f t="shared" si="20"/>
        <v>0.0947858086760855</v>
      </c>
      <c r="W37" s="33">
        <f t="shared" si="16"/>
        <v>9.478580867608551</v>
      </c>
      <c r="X37" s="33"/>
      <c r="Y37" s="33"/>
    </row>
    <row r="38" spans="3:25" ht="15">
      <c r="C38" s="1" t="s">
        <v>139</v>
      </c>
      <c r="D38">
        <v>2.25</v>
      </c>
      <c r="H38">
        <f t="shared" si="17"/>
        <v>909</v>
      </c>
      <c r="I38">
        <f t="shared" si="17"/>
        <v>909</v>
      </c>
      <c r="J38">
        <f t="shared" si="18"/>
        <v>987.75</v>
      </c>
      <c r="K38">
        <f t="shared" si="18"/>
        <v>987.75</v>
      </c>
      <c r="L38">
        <f t="shared" si="19"/>
        <v>947.25</v>
      </c>
      <c r="M38">
        <f t="shared" si="19"/>
        <v>947.25</v>
      </c>
      <c r="N38">
        <f t="shared" si="13"/>
        <v>948</v>
      </c>
      <c r="O38">
        <f t="shared" si="14"/>
        <v>14.37967315344824</v>
      </c>
      <c r="R38" s="33"/>
      <c r="S38" s="34" t="s">
        <v>139</v>
      </c>
      <c r="T38" s="33">
        <f t="shared" si="15"/>
        <v>481.18983657672413</v>
      </c>
      <c r="U38" s="33">
        <v>13090</v>
      </c>
      <c r="V38" s="33">
        <f t="shared" si="20"/>
        <v>0.03676010974612102</v>
      </c>
      <c r="W38" s="33">
        <f t="shared" si="16"/>
        <v>3.676010974612102</v>
      </c>
      <c r="X38" s="33"/>
      <c r="Y38" s="33"/>
    </row>
    <row r="39" spans="3:25" ht="15">
      <c r="C39" s="1" t="s">
        <v>140</v>
      </c>
      <c r="D39">
        <v>0.074</v>
      </c>
      <c r="G39" s="1"/>
      <c r="H39">
        <f t="shared" si="17"/>
        <v>29.895999999999997</v>
      </c>
      <c r="I39">
        <f t="shared" si="17"/>
        <v>29.895999999999997</v>
      </c>
      <c r="J39">
        <f t="shared" si="18"/>
        <v>32.486</v>
      </c>
      <c r="K39">
        <f t="shared" si="18"/>
        <v>32.486</v>
      </c>
      <c r="L39">
        <f t="shared" si="19"/>
        <v>31.154</v>
      </c>
      <c r="M39">
        <f t="shared" si="19"/>
        <v>31.154</v>
      </c>
      <c r="N39">
        <f t="shared" si="13"/>
        <v>31.17866666666666</v>
      </c>
      <c r="O39">
        <f t="shared" si="14"/>
        <v>0.4729314726022977</v>
      </c>
      <c r="R39" s="33"/>
      <c r="S39" s="34" t="s">
        <v>140</v>
      </c>
      <c r="T39" s="33">
        <f t="shared" si="15"/>
        <v>15.82579906963448</v>
      </c>
      <c r="U39" s="33">
        <v>1679</v>
      </c>
      <c r="V39" s="33">
        <f t="shared" si="20"/>
        <v>0.009425729046834115</v>
      </c>
      <c r="W39" s="33">
        <f t="shared" si="16"/>
        <v>0.9425729046834116</v>
      </c>
      <c r="X39" s="33"/>
      <c r="Y39" s="33"/>
    </row>
    <row r="40" spans="3:25" ht="15">
      <c r="C40" s="1" t="s">
        <v>141</v>
      </c>
      <c r="R40" s="33"/>
      <c r="S40" s="34" t="s">
        <v>141</v>
      </c>
      <c r="T40" s="33">
        <v>0</v>
      </c>
      <c r="U40" s="33">
        <v>2758</v>
      </c>
      <c r="V40" s="33">
        <f t="shared" si="20"/>
        <v>0</v>
      </c>
      <c r="W40" s="33">
        <f t="shared" si="16"/>
        <v>0</v>
      </c>
      <c r="X40" s="33"/>
      <c r="Y40" s="33"/>
    </row>
    <row r="41" spans="3:25" ht="15">
      <c r="C41" s="1" t="s">
        <v>142</v>
      </c>
      <c r="D41">
        <f>SUM(D34:D39)</f>
        <v>70.814</v>
      </c>
      <c r="H41">
        <f aca="true" t="shared" si="21" ref="H41:M41">SUM(H34:H39)</f>
        <v>28608.856</v>
      </c>
      <c r="I41">
        <f t="shared" si="21"/>
        <v>28608.856</v>
      </c>
      <c r="J41">
        <f t="shared" si="21"/>
        <v>31087.345999999998</v>
      </c>
      <c r="K41">
        <f t="shared" si="21"/>
        <v>31087.345999999998</v>
      </c>
      <c r="L41">
        <f t="shared" si="21"/>
        <v>29812.694</v>
      </c>
      <c r="M41">
        <f t="shared" si="21"/>
        <v>29812.694</v>
      </c>
      <c r="N41">
        <f>AVERAGE(H41:M41)</f>
        <v>29836.29866666666</v>
      </c>
      <c r="O41">
        <f>STDEV(H41:M41)/SQRT(6)</f>
        <v>452.56985541701465</v>
      </c>
      <c r="P41">
        <f>N41*100/N54</f>
        <v>74.65578678811646</v>
      </c>
      <c r="R41" s="33"/>
      <c r="S41" s="34"/>
      <c r="T41" s="33"/>
      <c r="U41" s="33"/>
      <c r="V41" s="33"/>
      <c r="W41" s="33"/>
      <c r="X41" s="33"/>
      <c r="Y41" s="33"/>
    </row>
    <row r="42" spans="3:25" ht="15">
      <c r="C42" s="1"/>
      <c r="R42" s="33"/>
      <c r="S42" s="34"/>
      <c r="T42" s="33"/>
      <c r="U42" s="33"/>
      <c r="V42" s="33"/>
      <c r="W42" s="33"/>
      <c r="X42" s="33"/>
      <c r="Y42" s="33"/>
    </row>
    <row r="43" spans="3:25" ht="15">
      <c r="C43" s="30" t="s">
        <v>144</v>
      </c>
      <c r="D43" s="32"/>
      <c r="P43" s="1" t="s">
        <v>143</v>
      </c>
      <c r="R43" s="33"/>
      <c r="S43" s="35" t="s">
        <v>144</v>
      </c>
      <c r="T43" s="33">
        <v>0</v>
      </c>
      <c r="U43" s="33">
        <v>2469</v>
      </c>
      <c r="V43" s="33">
        <f t="shared" si="20"/>
        <v>0</v>
      </c>
      <c r="W43" s="33">
        <f t="shared" si="16"/>
        <v>0</v>
      </c>
      <c r="X43" s="33"/>
      <c r="Y43" s="33"/>
    </row>
    <row r="44" spans="2:25" ht="15">
      <c r="B44" s="1" t="s">
        <v>143</v>
      </c>
      <c r="C44" s="30" t="s">
        <v>145</v>
      </c>
      <c r="D44" s="32">
        <v>18.7</v>
      </c>
      <c r="H44">
        <f>$D44*404</f>
        <v>7554.799999999999</v>
      </c>
      <c r="I44">
        <f>$D44*404</f>
        <v>7554.799999999999</v>
      </c>
      <c r="J44">
        <f>$D44*439</f>
        <v>8209.3</v>
      </c>
      <c r="K44">
        <f>$D44*439</f>
        <v>8209.3</v>
      </c>
      <c r="L44">
        <f>$D44*421</f>
        <v>7872.7</v>
      </c>
      <c r="M44">
        <f>$D44*421</f>
        <v>7872.7</v>
      </c>
      <c r="N44">
        <f>AVERAGE(H44:M44)</f>
        <v>7878.933333333332</v>
      </c>
      <c r="O44">
        <f>STDEV(H44:M44)/SQRT(6)</f>
        <v>119.5110613197698</v>
      </c>
      <c r="R44" s="33"/>
      <c r="S44" s="35" t="s">
        <v>145</v>
      </c>
      <c r="T44" s="33">
        <f>AVERAGE(N44:S44)</f>
        <v>3999.2221973265505</v>
      </c>
      <c r="U44" s="33">
        <v>45531</v>
      </c>
      <c r="V44" s="33">
        <f t="shared" si="20"/>
        <v>0.08783514961952407</v>
      </c>
      <c r="W44" s="33">
        <f t="shared" si="16"/>
        <v>8.783514961952408</v>
      </c>
      <c r="X44" s="33"/>
      <c r="Y44" s="33"/>
    </row>
    <row r="45" spans="3:25" ht="15">
      <c r="C45" s="30" t="s">
        <v>146</v>
      </c>
      <c r="D45" s="32">
        <v>0.16</v>
      </c>
      <c r="H45">
        <f>$D45*404</f>
        <v>64.64</v>
      </c>
      <c r="I45">
        <f>$D45*404</f>
        <v>64.64</v>
      </c>
      <c r="J45">
        <f>$D45*439</f>
        <v>70.24</v>
      </c>
      <c r="K45">
        <f>$D45*439</f>
        <v>70.24</v>
      </c>
      <c r="L45">
        <f>$D45*421</f>
        <v>67.36</v>
      </c>
      <c r="M45">
        <f>$D45*421</f>
        <v>67.36</v>
      </c>
      <c r="N45">
        <f>AVERAGE(H45:M45)</f>
        <v>67.41333333333334</v>
      </c>
      <c r="O45">
        <f>STDEV(H45:M45)/SQRT(6)</f>
        <v>1.0225545353563181</v>
      </c>
      <c r="R45" s="33"/>
      <c r="S45" s="35" t="s">
        <v>146</v>
      </c>
      <c r="T45" s="33">
        <f>AVERAGE(N45:S45)</f>
        <v>34.21794393434483</v>
      </c>
      <c r="U45" s="33">
        <v>1806</v>
      </c>
      <c r="V45" s="33">
        <f t="shared" si="20"/>
        <v>0.018946812809714747</v>
      </c>
      <c r="W45" s="33">
        <f t="shared" si="16"/>
        <v>1.8946812809714748</v>
      </c>
      <c r="X45" s="33"/>
      <c r="Y45" s="33"/>
    </row>
    <row r="46" spans="3:25" ht="15">
      <c r="C46" s="30" t="s">
        <v>147</v>
      </c>
      <c r="D46" s="32"/>
      <c r="R46" s="33"/>
      <c r="S46" s="35" t="s">
        <v>147</v>
      </c>
      <c r="T46" s="33">
        <v>0</v>
      </c>
      <c r="U46" s="33">
        <v>1192</v>
      </c>
      <c r="V46" s="33">
        <f t="shared" si="20"/>
        <v>0</v>
      </c>
      <c r="W46" s="33">
        <f t="shared" si="16"/>
        <v>0</v>
      </c>
      <c r="X46" s="33"/>
      <c r="Y46" s="33"/>
    </row>
    <row r="47" spans="3:25" ht="15">
      <c r="C47" s="30" t="s">
        <v>142</v>
      </c>
      <c r="D47">
        <f>D44+D45</f>
        <v>18.86</v>
      </c>
      <c r="H47">
        <f aca="true" t="shared" si="22" ref="H47:M47">H44+H45</f>
        <v>7619.44</v>
      </c>
      <c r="I47">
        <f t="shared" si="22"/>
        <v>7619.44</v>
      </c>
      <c r="J47">
        <f t="shared" si="22"/>
        <v>8279.539999999999</v>
      </c>
      <c r="K47">
        <f t="shared" si="22"/>
        <v>8279.539999999999</v>
      </c>
      <c r="L47">
        <f t="shared" si="22"/>
        <v>7940.0599999999995</v>
      </c>
      <c r="M47">
        <f t="shared" si="22"/>
        <v>7940.0599999999995</v>
      </c>
      <c r="N47">
        <f>AVERAGE(H47:M47)</f>
        <v>7946.346666666665</v>
      </c>
      <c r="O47">
        <f>STDEV(H47:M47)/SQRT(6)</f>
        <v>120.53361585512603</v>
      </c>
      <c r="P47">
        <f>N47*100/N54</f>
        <v>19.883188900837073</v>
      </c>
      <c r="R47" s="33"/>
      <c r="S47" s="35"/>
      <c r="T47" s="33"/>
      <c r="U47" s="33"/>
      <c r="V47" s="33"/>
      <c r="W47" s="33"/>
      <c r="X47" s="33"/>
      <c r="Y47" s="33"/>
    </row>
    <row r="48" spans="3:25" ht="15">
      <c r="C48" s="30"/>
      <c r="D48" s="32"/>
      <c r="R48" s="33"/>
      <c r="S48" s="35"/>
      <c r="T48" s="33"/>
      <c r="U48" s="33"/>
      <c r="V48" s="33"/>
      <c r="W48" s="33"/>
      <c r="X48" s="33"/>
      <c r="Y48" s="33"/>
    </row>
    <row r="49" spans="2:25" ht="15">
      <c r="B49" s="1" t="s">
        <v>148</v>
      </c>
      <c r="C49" s="31" t="s">
        <v>149</v>
      </c>
      <c r="D49" s="12">
        <v>3.26</v>
      </c>
      <c r="H49">
        <f>$D49*404</f>
        <v>1317.04</v>
      </c>
      <c r="I49">
        <f>$D49*404</f>
        <v>1317.04</v>
      </c>
      <c r="J49">
        <f>$D49*439</f>
        <v>1431.1399999999999</v>
      </c>
      <c r="K49">
        <f>$D49*439</f>
        <v>1431.1399999999999</v>
      </c>
      <c r="L49">
        <f>$D49*421</f>
        <v>1372.4599999999998</v>
      </c>
      <c r="M49">
        <f>$D49*421</f>
        <v>1372.4599999999998</v>
      </c>
      <c r="N49">
        <f>AVERAGE(H49:M49)</f>
        <v>1373.5466666666664</v>
      </c>
      <c r="O49">
        <f>STDEV(H49:M49)/SQRT(6)</f>
        <v>20.83454865788499</v>
      </c>
      <c r="P49" s="1" t="s">
        <v>148</v>
      </c>
      <c r="R49" s="33"/>
      <c r="S49" s="36" t="s">
        <v>149</v>
      </c>
      <c r="T49" s="33">
        <f>AVERAGE(N49:S49)</f>
        <v>697.1906076622757</v>
      </c>
      <c r="U49" s="33">
        <v>13695</v>
      </c>
      <c r="V49" s="33">
        <f t="shared" si="20"/>
        <v>0.0509084050866941</v>
      </c>
      <c r="W49" s="33">
        <f t="shared" si="16"/>
        <v>5.09084050866941</v>
      </c>
      <c r="X49" s="33"/>
      <c r="Y49" s="33"/>
    </row>
    <row r="50" spans="3:25" ht="15">
      <c r="C50" s="31" t="s">
        <v>150</v>
      </c>
      <c r="D50" s="12">
        <v>1.92</v>
      </c>
      <c r="H50">
        <f>$D50*404</f>
        <v>775.68</v>
      </c>
      <c r="I50">
        <f>$D50*404</f>
        <v>775.68</v>
      </c>
      <c r="J50">
        <f>$D50*439</f>
        <v>842.88</v>
      </c>
      <c r="K50">
        <f>$D50*439</f>
        <v>842.88</v>
      </c>
      <c r="L50">
        <f>$D50*421</f>
        <v>808.3199999999999</v>
      </c>
      <c r="M50">
        <f>$D50*421</f>
        <v>808.3199999999999</v>
      </c>
      <c r="N50">
        <f>AVERAGE(H50:M50)</f>
        <v>808.9599999999999</v>
      </c>
      <c r="O50">
        <f>STDEV(H50:M50)/SQRT(6)</f>
        <v>12.27065442427584</v>
      </c>
      <c r="R50" s="33"/>
      <c r="S50" s="36" t="s">
        <v>150</v>
      </c>
      <c r="T50" s="33">
        <f>AVERAGE(N50:S50)</f>
        <v>410.61532721213786</v>
      </c>
      <c r="U50" s="33">
        <v>1280</v>
      </c>
      <c r="V50" s="33">
        <f t="shared" si="20"/>
        <v>0.3207932243844827</v>
      </c>
      <c r="W50" s="33">
        <f t="shared" si="16"/>
        <v>32.07932243844827</v>
      </c>
      <c r="X50" s="33"/>
      <c r="Y50" s="33"/>
    </row>
    <row r="51" spans="3:25" ht="15">
      <c r="C51" s="31" t="s">
        <v>151</v>
      </c>
      <c r="D51" s="12"/>
      <c r="R51" s="33"/>
      <c r="S51" s="36" t="s">
        <v>151</v>
      </c>
      <c r="T51" s="33"/>
      <c r="U51" s="33">
        <v>983</v>
      </c>
      <c r="V51" s="33">
        <f t="shared" si="20"/>
        <v>0</v>
      </c>
      <c r="W51" s="33">
        <f t="shared" si="16"/>
        <v>0</v>
      </c>
      <c r="X51" s="33"/>
      <c r="Y51" s="33"/>
    </row>
    <row r="52" spans="3:25" ht="15">
      <c r="C52" s="31" t="s">
        <v>142</v>
      </c>
      <c r="D52">
        <f>D49+D50</f>
        <v>5.18</v>
      </c>
      <c r="H52">
        <f aca="true" t="shared" si="23" ref="H52:M52">H49+H50</f>
        <v>2092.72</v>
      </c>
      <c r="I52">
        <f t="shared" si="23"/>
        <v>2092.72</v>
      </c>
      <c r="J52">
        <f t="shared" si="23"/>
        <v>2274.02</v>
      </c>
      <c r="K52">
        <f t="shared" si="23"/>
        <v>2274.02</v>
      </c>
      <c r="L52">
        <f t="shared" si="23"/>
        <v>2180.7799999999997</v>
      </c>
      <c r="M52">
        <f t="shared" si="23"/>
        <v>2180.7799999999997</v>
      </c>
      <c r="N52">
        <f>AVERAGE(H52:M52)</f>
        <v>2182.506666666666</v>
      </c>
      <c r="O52">
        <f>STDEV(H52:M52)/SQRT(6)</f>
        <v>33.10520308216086</v>
      </c>
      <c r="P52">
        <f>N52*100/N54</f>
        <v>5.46102431104645</v>
      </c>
      <c r="R52" s="33"/>
      <c r="S52" s="33"/>
      <c r="T52" s="33"/>
      <c r="U52" s="33"/>
      <c r="V52" s="33"/>
      <c r="W52" s="33"/>
      <c r="X52" s="33"/>
      <c r="Y52" s="33"/>
    </row>
    <row r="53" spans="3:25" ht="15">
      <c r="C53" s="31"/>
      <c r="D53" s="12"/>
      <c r="R53" s="33"/>
      <c r="S53" s="33"/>
      <c r="T53" s="33"/>
      <c r="U53" s="33"/>
      <c r="V53" s="33"/>
      <c r="W53" s="33"/>
      <c r="X53" s="33"/>
      <c r="Y53" s="33"/>
    </row>
    <row r="54" spans="3:25" ht="15">
      <c r="C54" s="31" t="s">
        <v>152</v>
      </c>
      <c r="D54">
        <f>D41+D47+D52</f>
        <v>94.85399999999998</v>
      </c>
      <c r="H54">
        <f aca="true" t="shared" si="24" ref="H54:M54">H41+H47+H52</f>
        <v>38321.016</v>
      </c>
      <c r="I54">
        <f t="shared" si="24"/>
        <v>38321.016</v>
      </c>
      <c r="J54">
        <f t="shared" si="24"/>
        <v>41640.905999999995</v>
      </c>
      <c r="K54">
        <f t="shared" si="24"/>
        <v>41640.905999999995</v>
      </c>
      <c r="L54">
        <f t="shared" si="24"/>
        <v>39933.534</v>
      </c>
      <c r="M54">
        <f t="shared" si="24"/>
        <v>39933.534</v>
      </c>
      <c r="N54">
        <f>AVERAGE(H54:M54)</f>
        <v>39965.151999999995</v>
      </c>
      <c r="O54">
        <f>STDEV(H54:M54)/SQRT(6)</f>
        <v>606.2086743543005</v>
      </c>
      <c r="R54" s="33"/>
      <c r="S54" s="33"/>
      <c r="T54" s="33"/>
      <c r="U54" s="33"/>
      <c r="V54" s="33"/>
      <c r="W54" s="33"/>
      <c r="X54" s="33"/>
      <c r="Y54" s="33"/>
    </row>
  </sheetData>
  <sheetProtection/>
  <printOptions/>
  <pageMargins left="0.7500000000000001" right="0.7500000000000001" top="1" bottom="1" header="0.5" footer="0.5"/>
  <pageSetup fitToHeight="1" fitToWidth="1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L54"/>
  <sheetViews>
    <sheetView zoomScalePageLayoutView="0" workbookViewId="0" topLeftCell="G1">
      <selection activeCell="P9" sqref="P9"/>
    </sheetView>
  </sheetViews>
  <sheetFormatPr defaultColWidth="11.421875" defaultRowHeight="15"/>
  <sheetData>
    <row r="3" spans="1:16" ht="15">
      <c r="A3" t="s">
        <v>159</v>
      </c>
      <c r="N3" t="s">
        <v>160</v>
      </c>
      <c r="P3" s="37" t="s">
        <v>161</v>
      </c>
    </row>
    <row r="4" spans="14:25" ht="15">
      <c r="N4" s="37"/>
      <c r="O4" t="s">
        <v>130</v>
      </c>
      <c r="P4">
        <v>591</v>
      </c>
      <c r="Q4">
        <v>591</v>
      </c>
      <c r="R4">
        <v>562</v>
      </c>
      <c r="S4">
        <v>562</v>
      </c>
      <c r="T4">
        <v>639</v>
      </c>
      <c r="U4">
        <v>639</v>
      </c>
      <c r="V4" t="s">
        <v>162</v>
      </c>
      <c r="W4" t="s">
        <v>163</v>
      </c>
      <c r="X4" s="38"/>
      <c r="Y4" s="38"/>
    </row>
    <row r="5" spans="3:25" ht="15">
      <c r="C5" t="s">
        <v>164</v>
      </c>
      <c r="D5" t="s">
        <v>165</v>
      </c>
      <c r="E5" t="s">
        <v>166</v>
      </c>
      <c r="T5" s="38"/>
      <c r="U5" s="38"/>
      <c r="X5" s="38"/>
      <c r="Y5" s="38"/>
    </row>
    <row r="6" spans="3:25" ht="15">
      <c r="C6" t="s">
        <v>167</v>
      </c>
      <c r="N6" s="37"/>
      <c r="T6" s="38"/>
      <c r="U6" s="38"/>
      <c r="X6" s="38"/>
      <c r="Y6" s="38"/>
    </row>
    <row r="7" spans="2:25" ht="15">
      <c r="B7" t="s">
        <v>168</v>
      </c>
      <c r="C7">
        <v>9</v>
      </c>
      <c r="D7">
        <v>17.8</v>
      </c>
      <c r="E7" s="7">
        <f>C7*16.5/23.5</f>
        <v>6.319148936170213</v>
      </c>
      <c r="N7" s="37" t="s">
        <v>169</v>
      </c>
      <c r="O7" t="s">
        <v>168</v>
      </c>
      <c r="P7" s="7">
        <f aca="true" t="shared" si="0" ref="P7:U22">$E7/1000*P$4</f>
        <v>3.7346170212765957</v>
      </c>
      <c r="Q7" s="7">
        <f t="shared" si="0"/>
        <v>3.7346170212765957</v>
      </c>
      <c r="R7" s="7">
        <f t="shared" si="0"/>
        <v>3.5513617021276596</v>
      </c>
      <c r="S7" s="7">
        <f t="shared" si="0"/>
        <v>3.5513617021276596</v>
      </c>
      <c r="T7" s="7">
        <f t="shared" si="0"/>
        <v>4.037936170212766</v>
      </c>
      <c r="U7" s="7">
        <f t="shared" si="0"/>
        <v>4.037936170212766</v>
      </c>
      <c r="V7" s="7">
        <f>AVERAGE(P7:U7)</f>
        <v>3.77463829787234</v>
      </c>
      <c r="W7" s="7">
        <f>STDEV(P7:U7)/SQRT(6)</f>
        <v>0.08973290380036439</v>
      </c>
      <c r="X7" s="38"/>
      <c r="Y7" s="38"/>
    </row>
    <row r="8" spans="2:25" ht="15">
      <c r="B8" t="s">
        <v>170</v>
      </c>
      <c r="C8">
        <v>29</v>
      </c>
      <c r="D8">
        <v>48.9</v>
      </c>
      <c r="E8" s="7">
        <f aca="true" t="shared" si="1" ref="E8:E24">C8*16.5/23.5</f>
        <v>20.361702127659573</v>
      </c>
      <c r="N8" s="37"/>
      <c r="O8" t="s">
        <v>170</v>
      </c>
      <c r="P8" s="7">
        <f t="shared" si="0"/>
        <v>12.033765957446807</v>
      </c>
      <c r="Q8" s="7">
        <f t="shared" si="0"/>
        <v>12.033765957446807</v>
      </c>
      <c r="R8" s="7">
        <f t="shared" si="0"/>
        <v>11.44327659574468</v>
      </c>
      <c r="S8" s="7">
        <f t="shared" si="0"/>
        <v>11.44327659574468</v>
      </c>
      <c r="T8" s="7">
        <f t="shared" si="0"/>
        <v>13.011127659574466</v>
      </c>
      <c r="U8" s="7">
        <f t="shared" si="0"/>
        <v>13.011127659574466</v>
      </c>
      <c r="V8" s="7">
        <f aca="true" t="shared" si="2" ref="V8:V26">AVERAGE(P8:U8)</f>
        <v>12.162723404255317</v>
      </c>
      <c r="W8" s="7">
        <f aca="true" t="shared" si="3" ref="W8:W26">STDEV(P8:U8)/SQRT(6)</f>
        <v>0.289139356690063</v>
      </c>
      <c r="X8" s="38"/>
      <c r="Y8" s="38"/>
    </row>
    <row r="9" spans="2:25" ht="15">
      <c r="B9" t="s">
        <v>171</v>
      </c>
      <c r="C9">
        <v>9</v>
      </c>
      <c r="D9">
        <v>17.2</v>
      </c>
      <c r="E9" s="7">
        <f t="shared" si="1"/>
        <v>6.319148936170213</v>
      </c>
      <c r="N9" s="37"/>
      <c r="O9" t="s">
        <v>171</v>
      </c>
      <c r="P9" s="7">
        <f t="shared" si="0"/>
        <v>3.7346170212765957</v>
      </c>
      <c r="Q9" s="7">
        <f t="shared" si="0"/>
        <v>3.7346170212765957</v>
      </c>
      <c r="R9" s="7">
        <f t="shared" si="0"/>
        <v>3.5513617021276596</v>
      </c>
      <c r="S9" s="7">
        <f t="shared" si="0"/>
        <v>3.5513617021276596</v>
      </c>
      <c r="T9" s="7">
        <f t="shared" si="0"/>
        <v>4.037936170212766</v>
      </c>
      <c r="U9" s="7">
        <f t="shared" si="0"/>
        <v>4.037936170212766</v>
      </c>
      <c r="V9" s="7">
        <f t="shared" si="2"/>
        <v>3.77463829787234</v>
      </c>
      <c r="W9" s="7">
        <f t="shared" si="3"/>
        <v>0.08973290380036439</v>
      </c>
      <c r="X9" s="38"/>
      <c r="Y9" s="38"/>
    </row>
    <row r="10" spans="2:25" ht="15">
      <c r="B10" t="s">
        <v>172</v>
      </c>
      <c r="C10">
        <v>7</v>
      </c>
      <c r="D10">
        <v>28.8</v>
      </c>
      <c r="E10" s="7">
        <f t="shared" si="1"/>
        <v>4.914893617021277</v>
      </c>
      <c r="N10" s="37"/>
      <c r="O10" t="s">
        <v>172</v>
      </c>
      <c r="P10" s="7">
        <f t="shared" si="0"/>
        <v>2.904702127659575</v>
      </c>
      <c r="Q10" s="7">
        <f t="shared" si="0"/>
        <v>2.904702127659575</v>
      </c>
      <c r="R10" s="7">
        <f t="shared" si="0"/>
        <v>2.7621702127659575</v>
      </c>
      <c r="S10" s="7">
        <f t="shared" si="0"/>
        <v>2.7621702127659575</v>
      </c>
      <c r="T10" s="7">
        <f t="shared" si="0"/>
        <v>3.140617021276596</v>
      </c>
      <c r="U10" s="7">
        <f t="shared" si="0"/>
        <v>3.140617021276596</v>
      </c>
      <c r="V10" s="7">
        <f t="shared" si="2"/>
        <v>2.935829787234043</v>
      </c>
      <c r="W10" s="7">
        <f t="shared" si="3"/>
        <v>0.06979225851139453</v>
      </c>
      <c r="X10" s="38"/>
      <c r="Y10" s="38"/>
    </row>
    <row r="11" spans="2:25" ht="15">
      <c r="B11" t="s">
        <v>173</v>
      </c>
      <c r="C11">
        <v>5</v>
      </c>
      <c r="D11">
        <v>9.28</v>
      </c>
      <c r="E11" s="7">
        <f t="shared" si="1"/>
        <v>3.5106382978723403</v>
      </c>
      <c r="N11" s="37"/>
      <c r="O11" t="s">
        <v>173</v>
      </c>
      <c r="P11" s="7">
        <f t="shared" si="0"/>
        <v>2.074787234042553</v>
      </c>
      <c r="Q11" s="7">
        <f t="shared" si="0"/>
        <v>2.074787234042553</v>
      </c>
      <c r="R11" s="7">
        <f t="shared" si="0"/>
        <v>1.9729787234042553</v>
      </c>
      <c r="S11" s="7">
        <f t="shared" si="0"/>
        <v>1.9729787234042553</v>
      </c>
      <c r="T11" s="7">
        <f t="shared" si="0"/>
        <v>2.2432978723404258</v>
      </c>
      <c r="U11" s="7">
        <f t="shared" si="0"/>
        <v>2.2432978723404258</v>
      </c>
      <c r="V11" s="7">
        <f t="shared" si="2"/>
        <v>2.0970212765957448</v>
      </c>
      <c r="W11" s="7">
        <f t="shared" si="3"/>
        <v>0.04985161322242473</v>
      </c>
      <c r="X11" s="38"/>
      <c r="Y11" s="38"/>
    </row>
    <row r="12" spans="2:25" ht="15">
      <c r="B12" t="s">
        <v>174</v>
      </c>
      <c r="C12">
        <v>12</v>
      </c>
      <c r="D12">
        <v>40.3</v>
      </c>
      <c r="E12" s="7">
        <f t="shared" si="1"/>
        <v>8.425531914893616</v>
      </c>
      <c r="N12" s="37"/>
      <c r="O12" t="s">
        <v>174</v>
      </c>
      <c r="P12" s="7">
        <f t="shared" si="0"/>
        <v>4.979489361702127</v>
      </c>
      <c r="Q12" s="7">
        <f t="shared" si="0"/>
        <v>4.979489361702127</v>
      </c>
      <c r="R12" s="7">
        <f t="shared" si="0"/>
        <v>4.735148936170212</v>
      </c>
      <c r="S12" s="7">
        <f t="shared" si="0"/>
        <v>4.735148936170212</v>
      </c>
      <c r="T12" s="7">
        <f t="shared" si="0"/>
        <v>5.38391489361702</v>
      </c>
      <c r="U12" s="7">
        <f t="shared" si="0"/>
        <v>5.38391489361702</v>
      </c>
      <c r="V12" s="7">
        <f t="shared" si="2"/>
        <v>5.032851063829787</v>
      </c>
      <c r="W12" s="7">
        <f t="shared" si="3"/>
        <v>0.11964387173381912</v>
      </c>
      <c r="X12" s="38"/>
      <c r="Y12" s="38"/>
    </row>
    <row r="13" spans="2:25" ht="15">
      <c r="B13" t="s">
        <v>175</v>
      </c>
      <c r="C13">
        <v>7</v>
      </c>
      <c r="D13">
        <v>13.6</v>
      </c>
      <c r="E13" s="7">
        <f t="shared" si="1"/>
        <v>4.914893617021277</v>
      </c>
      <c r="N13" s="37"/>
      <c r="O13" t="s">
        <v>175</v>
      </c>
      <c r="P13" s="7">
        <f t="shared" si="0"/>
        <v>2.904702127659575</v>
      </c>
      <c r="Q13" s="7">
        <f t="shared" si="0"/>
        <v>2.904702127659575</v>
      </c>
      <c r="R13" s="7">
        <f t="shared" si="0"/>
        <v>2.7621702127659575</v>
      </c>
      <c r="S13" s="7">
        <f t="shared" si="0"/>
        <v>2.7621702127659575</v>
      </c>
      <c r="T13" s="7">
        <f t="shared" si="0"/>
        <v>3.140617021276596</v>
      </c>
      <c r="U13" s="7">
        <f t="shared" si="0"/>
        <v>3.140617021276596</v>
      </c>
      <c r="V13" s="7">
        <f t="shared" si="2"/>
        <v>2.935829787234043</v>
      </c>
      <c r="W13" s="7">
        <f t="shared" si="3"/>
        <v>0.06979225851139453</v>
      </c>
      <c r="X13" s="38"/>
      <c r="Y13" s="38"/>
    </row>
    <row r="14" spans="2:25" ht="15">
      <c r="B14" t="s">
        <v>176</v>
      </c>
      <c r="C14">
        <v>14</v>
      </c>
      <c r="D14">
        <v>21.4</v>
      </c>
      <c r="E14" s="7">
        <f t="shared" si="1"/>
        <v>9.829787234042554</v>
      </c>
      <c r="N14" s="37"/>
      <c r="O14" t="s">
        <v>176</v>
      </c>
      <c r="P14" s="7">
        <f t="shared" si="0"/>
        <v>5.80940425531915</v>
      </c>
      <c r="Q14" s="7">
        <f t="shared" si="0"/>
        <v>5.80940425531915</v>
      </c>
      <c r="R14" s="7">
        <f t="shared" si="0"/>
        <v>5.524340425531915</v>
      </c>
      <c r="S14" s="7">
        <f t="shared" si="0"/>
        <v>5.524340425531915</v>
      </c>
      <c r="T14" s="7">
        <f t="shared" si="0"/>
        <v>6.281234042553192</v>
      </c>
      <c r="U14" s="7">
        <f t="shared" si="0"/>
        <v>6.281234042553192</v>
      </c>
      <c r="V14" s="7">
        <f t="shared" si="2"/>
        <v>5.871659574468086</v>
      </c>
      <c r="W14" s="7">
        <f t="shared" si="3"/>
        <v>0.13958451702278907</v>
      </c>
      <c r="X14" s="38"/>
      <c r="Y14" s="38"/>
    </row>
    <row r="15" spans="2:25" ht="15">
      <c r="B15" t="s">
        <v>177</v>
      </c>
      <c r="C15">
        <v>6</v>
      </c>
      <c r="D15">
        <v>10.7</v>
      </c>
      <c r="E15" s="7">
        <f t="shared" si="1"/>
        <v>4.212765957446808</v>
      </c>
      <c r="N15" s="37"/>
      <c r="O15" t="s">
        <v>177</v>
      </c>
      <c r="P15" s="7">
        <f t="shared" si="0"/>
        <v>2.4897446808510635</v>
      </c>
      <c r="Q15" s="7">
        <f t="shared" si="0"/>
        <v>2.4897446808510635</v>
      </c>
      <c r="R15" s="7">
        <f t="shared" si="0"/>
        <v>2.367574468085106</v>
      </c>
      <c r="S15" s="7">
        <f t="shared" si="0"/>
        <v>2.367574468085106</v>
      </c>
      <c r="T15" s="7">
        <f t="shared" si="0"/>
        <v>2.69195744680851</v>
      </c>
      <c r="U15" s="7">
        <f t="shared" si="0"/>
        <v>2.69195744680851</v>
      </c>
      <c r="V15" s="7">
        <f t="shared" si="2"/>
        <v>2.5164255319148934</v>
      </c>
      <c r="W15" s="7">
        <f t="shared" si="3"/>
        <v>0.05982193586690956</v>
      </c>
      <c r="X15" s="38"/>
      <c r="Y15" s="38"/>
    </row>
    <row r="16" spans="2:25" ht="15">
      <c r="B16" t="s">
        <v>178</v>
      </c>
      <c r="C16">
        <v>7</v>
      </c>
      <c r="D16">
        <v>13.5</v>
      </c>
      <c r="E16" s="7">
        <f t="shared" si="1"/>
        <v>4.914893617021277</v>
      </c>
      <c r="N16" s="37"/>
      <c r="O16" t="s">
        <v>178</v>
      </c>
      <c r="P16" s="7">
        <f t="shared" si="0"/>
        <v>2.904702127659575</v>
      </c>
      <c r="Q16" s="7">
        <f t="shared" si="0"/>
        <v>2.904702127659575</v>
      </c>
      <c r="R16" s="7">
        <f t="shared" si="0"/>
        <v>2.7621702127659575</v>
      </c>
      <c r="S16" s="7">
        <f t="shared" si="0"/>
        <v>2.7621702127659575</v>
      </c>
      <c r="T16" s="7">
        <f t="shared" si="0"/>
        <v>3.140617021276596</v>
      </c>
      <c r="U16" s="7">
        <f t="shared" si="0"/>
        <v>3.140617021276596</v>
      </c>
      <c r="V16" s="7">
        <f t="shared" si="2"/>
        <v>2.935829787234043</v>
      </c>
      <c r="W16" s="7">
        <f t="shared" si="3"/>
        <v>0.06979225851139453</v>
      </c>
      <c r="X16" s="38"/>
      <c r="Y16" s="38"/>
    </row>
    <row r="17" spans="2:25" ht="15">
      <c r="B17" t="s">
        <v>179</v>
      </c>
      <c r="C17">
        <v>7</v>
      </c>
      <c r="D17">
        <v>11.7</v>
      </c>
      <c r="E17" s="7">
        <f t="shared" si="1"/>
        <v>4.914893617021277</v>
      </c>
      <c r="N17" s="37"/>
      <c r="O17" t="s">
        <v>179</v>
      </c>
      <c r="P17" s="7">
        <f t="shared" si="0"/>
        <v>2.904702127659575</v>
      </c>
      <c r="Q17" s="7">
        <f t="shared" si="0"/>
        <v>2.904702127659575</v>
      </c>
      <c r="R17" s="7">
        <f t="shared" si="0"/>
        <v>2.7621702127659575</v>
      </c>
      <c r="S17" s="7">
        <f t="shared" si="0"/>
        <v>2.7621702127659575</v>
      </c>
      <c r="T17" s="7">
        <f t="shared" si="0"/>
        <v>3.140617021276596</v>
      </c>
      <c r="U17" s="7">
        <f t="shared" si="0"/>
        <v>3.140617021276596</v>
      </c>
      <c r="V17" s="7">
        <f t="shared" si="2"/>
        <v>2.935829787234043</v>
      </c>
      <c r="W17" s="7">
        <f t="shared" si="3"/>
        <v>0.06979225851139453</v>
      </c>
      <c r="X17" s="38"/>
      <c r="Y17" s="38"/>
    </row>
    <row r="18" spans="2:25" ht="15">
      <c r="B18" t="s">
        <v>180</v>
      </c>
      <c r="C18">
        <v>4</v>
      </c>
      <c r="D18">
        <v>8.26</v>
      </c>
      <c r="E18" s="7">
        <f t="shared" si="1"/>
        <v>2.8085106382978724</v>
      </c>
      <c r="N18" s="37"/>
      <c r="O18" t="s">
        <v>180</v>
      </c>
      <c r="P18" s="7">
        <f t="shared" si="0"/>
        <v>1.6598297872340424</v>
      </c>
      <c r="Q18" s="7">
        <f t="shared" si="0"/>
        <v>1.6598297872340424</v>
      </c>
      <c r="R18" s="7">
        <f t="shared" si="0"/>
        <v>1.5783829787234043</v>
      </c>
      <c r="S18" s="7">
        <f t="shared" si="0"/>
        <v>1.5783829787234043</v>
      </c>
      <c r="T18" s="7">
        <f t="shared" si="0"/>
        <v>1.7946382978723403</v>
      </c>
      <c r="U18" s="7">
        <f t="shared" si="0"/>
        <v>1.7946382978723403</v>
      </c>
      <c r="V18" s="7">
        <f t="shared" si="2"/>
        <v>1.677617021276596</v>
      </c>
      <c r="W18" s="7">
        <f t="shared" si="3"/>
        <v>0.03988129057793971</v>
      </c>
      <c r="X18" s="38"/>
      <c r="Y18" s="38"/>
    </row>
    <row r="19" spans="2:25" ht="15">
      <c r="B19" t="s">
        <v>181</v>
      </c>
      <c r="C19">
        <v>3</v>
      </c>
      <c r="D19">
        <v>5.47</v>
      </c>
      <c r="E19" s="7">
        <f t="shared" si="1"/>
        <v>2.106382978723404</v>
      </c>
      <c r="N19" s="37"/>
      <c r="O19" t="s">
        <v>181</v>
      </c>
      <c r="P19" s="7">
        <f t="shared" si="0"/>
        <v>1.2448723404255317</v>
      </c>
      <c r="Q19" s="7">
        <f t="shared" si="0"/>
        <v>1.2448723404255317</v>
      </c>
      <c r="R19" s="7">
        <f t="shared" si="0"/>
        <v>1.183787234042553</v>
      </c>
      <c r="S19" s="7">
        <f t="shared" si="0"/>
        <v>1.183787234042553</v>
      </c>
      <c r="T19" s="7">
        <f t="shared" si="0"/>
        <v>1.345978723404255</v>
      </c>
      <c r="U19" s="7">
        <f t="shared" si="0"/>
        <v>1.345978723404255</v>
      </c>
      <c r="V19" s="7">
        <f t="shared" si="2"/>
        <v>1.2582127659574467</v>
      </c>
      <c r="W19" s="7">
        <f t="shared" si="3"/>
        <v>0.02991096793345478</v>
      </c>
      <c r="X19" s="38"/>
      <c r="Y19" s="38"/>
    </row>
    <row r="20" spans="2:25" ht="15">
      <c r="B20" t="s">
        <v>182</v>
      </c>
      <c r="C20">
        <v>3</v>
      </c>
      <c r="D20">
        <v>2.48</v>
      </c>
      <c r="E20" s="7">
        <f t="shared" si="1"/>
        <v>2.106382978723404</v>
      </c>
      <c r="N20" s="37"/>
      <c r="O20" t="s">
        <v>182</v>
      </c>
      <c r="P20" s="7">
        <f t="shared" si="0"/>
        <v>1.2448723404255317</v>
      </c>
      <c r="Q20" s="7">
        <f t="shared" si="0"/>
        <v>1.2448723404255317</v>
      </c>
      <c r="R20" s="7">
        <f t="shared" si="0"/>
        <v>1.183787234042553</v>
      </c>
      <c r="S20" s="7">
        <f t="shared" si="0"/>
        <v>1.183787234042553</v>
      </c>
      <c r="T20" s="7">
        <f t="shared" si="0"/>
        <v>1.345978723404255</v>
      </c>
      <c r="U20" s="7">
        <f t="shared" si="0"/>
        <v>1.345978723404255</v>
      </c>
      <c r="V20" s="7">
        <f t="shared" si="2"/>
        <v>1.2582127659574467</v>
      </c>
      <c r="W20" s="7">
        <f t="shared" si="3"/>
        <v>0.02991096793345478</v>
      </c>
      <c r="X20" s="38"/>
      <c r="Y20" s="38"/>
    </row>
    <row r="21" spans="2:25" ht="15">
      <c r="B21" t="s">
        <v>183</v>
      </c>
      <c r="C21">
        <v>7</v>
      </c>
      <c r="D21">
        <v>15.72</v>
      </c>
      <c r="E21" s="7">
        <f t="shared" si="1"/>
        <v>4.914893617021277</v>
      </c>
      <c r="N21" s="37"/>
      <c r="O21" t="s">
        <v>183</v>
      </c>
      <c r="P21" s="7">
        <f t="shared" si="0"/>
        <v>2.904702127659575</v>
      </c>
      <c r="Q21" s="7">
        <f t="shared" si="0"/>
        <v>2.904702127659575</v>
      </c>
      <c r="R21" s="7">
        <f t="shared" si="0"/>
        <v>2.7621702127659575</v>
      </c>
      <c r="S21" s="7">
        <f t="shared" si="0"/>
        <v>2.7621702127659575</v>
      </c>
      <c r="T21" s="7">
        <f t="shared" si="0"/>
        <v>3.140617021276596</v>
      </c>
      <c r="U21" s="7">
        <f t="shared" si="0"/>
        <v>3.140617021276596</v>
      </c>
      <c r="V21" s="7">
        <f t="shared" si="2"/>
        <v>2.935829787234043</v>
      </c>
      <c r="W21" s="7">
        <f t="shared" si="3"/>
        <v>0.06979225851139453</v>
      </c>
      <c r="X21" s="38"/>
      <c r="Y21" s="38"/>
    </row>
    <row r="22" spans="2:25" ht="15">
      <c r="B22" t="s">
        <v>184</v>
      </c>
      <c r="C22">
        <v>4</v>
      </c>
      <c r="D22">
        <v>6.27</v>
      </c>
      <c r="E22" s="7">
        <f t="shared" si="1"/>
        <v>2.8085106382978724</v>
      </c>
      <c r="N22" s="37"/>
      <c r="O22" t="s">
        <v>184</v>
      </c>
      <c r="P22" s="7">
        <f t="shared" si="0"/>
        <v>1.6598297872340424</v>
      </c>
      <c r="Q22" s="7">
        <f t="shared" si="0"/>
        <v>1.6598297872340424</v>
      </c>
      <c r="R22" s="7">
        <f t="shared" si="0"/>
        <v>1.5783829787234043</v>
      </c>
      <c r="S22" s="7">
        <f t="shared" si="0"/>
        <v>1.5783829787234043</v>
      </c>
      <c r="T22" s="7">
        <f t="shared" si="0"/>
        <v>1.7946382978723403</v>
      </c>
      <c r="U22" s="7">
        <f t="shared" si="0"/>
        <v>1.7946382978723403</v>
      </c>
      <c r="V22" s="7">
        <f t="shared" si="2"/>
        <v>1.677617021276596</v>
      </c>
      <c r="W22" s="7">
        <f t="shared" si="3"/>
        <v>0.03988129057793971</v>
      </c>
      <c r="X22" s="38"/>
      <c r="Y22" s="38"/>
    </row>
    <row r="23" spans="2:25" ht="15">
      <c r="B23" t="s">
        <v>185</v>
      </c>
      <c r="C23">
        <v>8</v>
      </c>
      <c r="D23">
        <v>15.5</v>
      </c>
      <c r="E23" s="7">
        <f t="shared" si="1"/>
        <v>5.617021276595745</v>
      </c>
      <c r="N23" s="37"/>
      <c r="O23" t="s">
        <v>185</v>
      </c>
      <c r="P23" s="7">
        <f aca="true" t="shared" si="4" ref="P23:U24">$E23/1000*P$4</f>
        <v>3.319659574468085</v>
      </c>
      <c r="Q23" s="7">
        <f t="shared" si="4"/>
        <v>3.319659574468085</v>
      </c>
      <c r="R23" s="7">
        <f t="shared" si="4"/>
        <v>3.1567659574468085</v>
      </c>
      <c r="S23" s="7">
        <f t="shared" si="4"/>
        <v>3.1567659574468085</v>
      </c>
      <c r="T23" s="7">
        <f t="shared" si="4"/>
        <v>3.5892765957446806</v>
      </c>
      <c r="U23" s="7">
        <f t="shared" si="4"/>
        <v>3.5892765957446806</v>
      </c>
      <c r="V23" s="7">
        <f t="shared" si="2"/>
        <v>3.355234042553192</v>
      </c>
      <c r="W23" s="7">
        <f t="shared" si="3"/>
        <v>0.07976258115587942</v>
      </c>
      <c r="X23" s="38"/>
      <c r="Y23" s="38"/>
    </row>
    <row r="24" spans="2:25" ht="15">
      <c r="B24" t="s">
        <v>186</v>
      </c>
      <c r="C24">
        <v>2</v>
      </c>
      <c r="D24">
        <v>2.67</v>
      </c>
      <c r="E24" s="7">
        <f t="shared" si="1"/>
        <v>1.4042553191489362</v>
      </c>
      <c r="O24" t="s">
        <v>186</v>
      </c>
      <c r="P24" s="7">
        <f t="shared" si="4"/>
        <v>0.8299148936170212</v>
      </c>
      <c r="Q24" s="7">
        <f t="shared" si="4"/>
        <v>0.8299148936170212</v>
      </c>
      <c r="R24" s="7">
        <f t="shared" si="4"/>
        <v>0.7891914893617021</v>
      </c>
      <c r="S24" s="7">
        <f t="shared" si="4"/>
        <v>0.7891914893617021</v>
      </c>
      <c r="T24" s="7">
        <f t="shared" si="4"/>
        <v>0.8973191489361702</v>
      </c>
      <c r="U24" s="7">
        <f t="shared" si="4"/>
        <v>0.8973191489361702</v>
      </c>
      <c r="V24" s="7">
        <f t="shared" si="2"/>
        <v>0.838808510638298</v>
      </c>
      <c r="W24" s="7">
        <f t="shared" si="3"/>
        <v>0.019940645288969855</v>
      </c>
      <c r="X24" s="38"/>
      <c r="Y24" s="38"/>
    </row>
    <row r="25" spans="16:25" ht="15">
      <c r="P25" s="7"/>
      <c r="Q25" s="7"/>
      <c r="R25" s="7"/>
      <c r="S25" s="7"/>
      <c r="T25" s="7"/>
      <c r="U25" s="7"/>
      <c r="V25" s="7"/>
      <c r="W25" s="7"/>
      <c r="X25" s="38"/>
      <c r="Y25" s="38"/>
    </row>
    <row r="26" spans="2:25" ht="15">
      <c r="B26" t="s">
        <v>187</v>
      </c>
      <c r="C26">
        <f>SUM(C7:C24)</f>
        <v>143</v>
      </c>
      <c r="D26">
        <f>SUM(D7:D24)</f>
        <v>289.54999999999995</v>
      </c>
      <c r="E26">
        <f>SUM(E7:E24)</f>
        <v>100.40425531914894</v>
      </c>
      <c r="O26" t="s">
        <v>187</v>
      </c>
      <c r="P26" s="7">
        <f aca="true" t="shared" si="5" ref="P26:U26">$E26/1000*P$4</f>
        <v>59.33891489361702</v>
      </c>
      <c r="Q26" s="7">
        <f t="shared" si="5"/>
        <v>59.33891489361702</v>
      </c>
      <c r="R26" s="7">
        <f t="shared" si="5"/>
        <v>56.427191489361704</v>
      </c>
      <c r="S26" s="7">
        <f t="shared" si="5"/>
        <v>56.427191489361704</v>
      </c>
      <c r="T26" s="7">
        <f t="shared" si="5"/>
        <v>64.15831914893617</v>
      </c>
      <c r="U26" s="7">
        <f t="shared" si="5"/>
        <v>64.15831914893617</v>
      </c>
      <c r="V26" s="39">
        <f t="shared" si="2"/>
        <v>59.974808510638304</v>
      </c>
      <c r="W26" s="39">
        <f t="shared" si="3"/>
        <v>1.4257561381613457</v>
      </c>
      <c r="X26" s="40">
        <v>0.835</v>
      </c>
      <c r="Y26" s="41"/>
    </row>
    <row r="27" spans="16:23" ht="15">
      <c r="P27" s="7"/>
      <c r="Q27" s="7"/>
      <c r="R27" s="7"/>
      <c r="S27" s="7"/>
      <c r="T27" s="15"/>
      <c r="U27" s="15"/>
      <c r="V27" s="7"/>
      <c r="W27" s="7"/>
    </row>
    <row r="28" spans="16:23" ht="15">
      <c r="P28" s="7"/>
      <c r="Q28" s="7"/>
      <c r="R28" s="7"/>
      <c r="S28" s="7"/>
      <c r="T28" s="7"/>
      <c r="U28" s="7"/>
      <c r="V28" s="7"/>
      <c r="W28" s="7"/>
    </row>
    <row r="29" spans="16:23" ht="15">
      <c r="P29" s="7"/>
      <c r="Q29" s="7"/>
      <c r="R29" s="7"/>
      <c r="S29" s="7"/>
      <c r="T29" s="7"/>
      <c r="U29" s="42"/>
      <c r="V29" s="7"/>
      <c r="W29" s="7"/>
    </row>
    <row r="30" spans="16:23" ht="15">
      <c r="P30" s="7"/>
      <c r="Q30" s="7"/>
      <c r="R30" s="7"/>
      <c r="S30" s="7"/>
      <c r="T30" s="7"/>
      <c r="U30" s="42"/>
      <c r="V30" s="7"/>
      <c r="W30" s="7"/>
    </row>
    <row r="31" spans="14:23" ht="15">
      <c r="N31" t="s">
        <v>188</v>
      </c>
      <c r="P31" s="7" t="s">
        <v>189</v>
      </c>
      <c r="Q31" s="7"/>
      <c r="R31" s="7"/>
      <c r="S31" s="7"/>
      <c r="T31" s="7"/>
      <c r="U31" s="7"/>
      <c r="V31" s="7"/>
      <c r="W31" s="7"/>
    </row>
    <row r="32" spans="14:24" ht="15">
      <c r="N32" s="37"/>
      <c r="O32" t="s">
        <v>130</v>
      </c>
      <c r="P32" s="7">
        <v>404</v>
      </c>
      <c r="Q32" s="7">
        <v>404</v>
      </c>
      <c r="R32" s="7">
        <v>439</v>
      </c>
      <c r="S32" s="7">
        <v>439</v>
      </c>
      <c r="T32" s="7">
        <v>421</v>
      </c>
      <c r="U32" s="7">
        <v>421</v>
      </c>
      <c r="V32" s="7" t="s">
        <v>162</v>
      </c>
      <c r="W32" s="7" t="s">
        <v>163</v>
      </c>
      <c r="X32" s="38"/>
    </row>
    <row r="33" spans="3:24" ht="15">
      <c r="C33" s="1" t="s">
        <v>190</v>
      </c>
      <c r="D33" s="1"/>
      <c r="E33" s="1" t="s">
        <v>191</v>
      </c>
      <c r="G33" s="1" t="s">
        <v>192</v>
      </c>
      <c r="H33" s="1"/>
      <c r="I33" s="1" t="s">
        <v>193</v>
      </c>
      <c r="K33" t="s">
        <v>164</v>
      </c>
      <c r="L33" t="s">
        <v>194</v>
      </c>
      <c r="P33" s="7"/>
      <c r="Q33" s="7"/>
      <c r="R33" s="7"/>
      <c r="S33" s="7"/>
      <c r="T33" s="15"/>
      <c r="U33" s="15"/>
      <c r="V33" s="7"/>
      <c r="W33" s="7"/>
      <c r="X33" s="38"/>
    </row>
    <row r="34" spans="3:24" ht="15">
      <c r="C34" t="s">
        <v>195</v>
      </c>
      <c r="D34" t="s">
        <v>167</v>
      </c>
      <c r="E34" t="s">
        <v>195</v>
      </c>
      <c r="F34" t="s">
        <v>167</v>
      </c>
      <c r="G34" t="s">
        <v>195</v>
      </c>
      <c r="H34" t="s">
        <v>167</v>
      </c>
      <c r="I34" t="s">
        <v>195</v>
      </c>
      <c r="J34" t="s">
        <v>167</v>
      </c>
      <c r="K34" t="s">
        <v>167</v>
      </c>
      <c r="N34" s="37"/>
      <c r="P34" s="7"/>
      <c r="Q34" s="7"/>
      <c r="R34" s="7"/>
      <c r="S34" s="7"/>
      <c r="T34" s="15"/>
      <c r="U34" s="15"/>
      <c r="V34" s="7"/>
      <c r="W34" s="7"/>
      <c r="X34" s="38"/>
    </row>
    <row r="35" spans="2:28" ht="15">
      <c r="B35" t="s">
        <v>168</v>
      </c>
      <c r="C35">
        <v>84</v>
      </c>
      <c r="D35">
        <v>11.17</v>
      </c>
      <c r="E35">
        <v>130</v>
      </c>
      <c r="F35">
        <v>17.3</v>
      </c>
      <c r="G35">
        <v>12</v>
      </c>
      <c r="H35">
        <v>1.59</v>
      </c>
      <c r="I35">
        <v>18</v>
      </c>
      <c r="J35">
        <v>2.39</v>
      </c>
      <c r="K35">
        <v>9</v>
      </c>
      <c r="L35">
        <v>6.319148936170213</v>
      </c>
      <c r="N35" s="37" t="s">
        <v>169</v>
      </c>
      <c r="O35" t="s">
        <v>168</v>
      </c>
      <c r="P35" s="7">
        <f aca="true" t="shared" si="6" ref="P35:U50">$E7/1000*P$32</f>
        <v>2.552936170212766</v>
      </c>
      <c r="Q35" s="7">
        <f t="shared" si="6"/>
        <v>2.552936170212766</v>
      </c>
      <c r="R35" s="7">
        <f t="shared" si="6"/>
        <v>2.774106382978723</v>
      </c>
      <c r="S35" s="7">
        <f t="shared" si="6"/>
        <v>2.774106382978723</v>
      </c>
      <c r="T35" s="7">
        <f t="shared" si="6"/>
        <v>2.6603617021276595</v>
      </c>
      <c r="U35" s="7">
        <f t="shared" si="6"/>
        <v>2.6603617021276595</v>
      </c>
      <c r="V35" s="7">
        <f>AVERAGE(P35:U35)</f>
        <v>2.662468085106383</v>
      </c>
      <c r="W35" s="7">
        <f>STDEV(P35:U35)/SQRT(6)</f>
        <v>0.04038546502670564</v>
      </c>
      <c r="X35" s="38"/>
      <c r="AB35" s="37"/>
    </row>
    <row r="36" spans="2:28" ht="15">
      <c r="B36" t="s">
        <v>170</v>
      </c>
      <c r="C36">
        <v>136</v>
      </c>
      <c r="D36">
        <v>19.9</v>
      </c>
      <c r="E36">
        <v>184</v>
      </c>
      <c r="F36">
        <v>26.9</v>
      </c>
      <c r="G36">
        <v>98</v>
      </c>
      <c r="H36">
        <v>14.3</v>
      </c>
      <c r="I36">
        <v>43</v>
      </c>
      <c r="J36">
        <v>6.29</v>
      </c>
      <c r="K36">
        <v>29</v>
      </c>
      <c r="L36">
        <v>20.361702127659573</v>
      </c>
      <c r="N36" s="37"/>
      <c r="O36" t="s">
        <v>170</v>
      </c>
      <c r="P36" s="7">
        <f t="shared" si="6"/>
        <v>8.226127659574468</v>
      </c>
      <c r="Q36" s="7">
        <f t="shared" si="6"/>
        <v>8.226127659574468</v>
      </c>
      <c r="R36" s="7">
        <f t="shared" si="6"/>
        <v>8.938787234042552</v>
      </c>
      <c r="S36" s="7">
        <f t="shared" si="6"/>
        <v>8.938787234042552</v>
      </c>
      <c r="T36" s="7">
        <f t="shared" si="6"/>
        <v>8.57227659574468</v>
      </c>
      <c r="U36" s="7">
        <f t="shared" si="6"/>
        <v>8.57227659574468</v>
      </c>
      <c r="V36" s="7">
        <f aca="true" t="shared" si="7" ref="V36:V52">AVERAGE(P36:U36)</f>
        <v>8.579063829787234</v>
      </c>
      <c r="W36" s="7">
        <f aca="true" t="shared" si="8" ref="W36:W52">STDEV(P36:U36)/SQRT(6)</f>
        <v>0.1301309428638293</v>
      </c>
      <c r="X36" s="38"/>
      <c r="AB36" s="37"/>
    </row>
    <row r="37" spans="2:28" ht="15">
      <c r="B37" t="s">
        <v>171</v>
      </c>
      <c r="C37">
        <v>46</v>
      </c>
      <c r="D37">
        <v>4.09</v>
      </c>
      <c r="E37">
        <v>82</v>
      </c>
      <c r="F37">
        <v>7.38</v>
      </c>
      <c r="G37">
        <v>14</v>
      </c>
      <c r="H37">
        <v>1.25</v>
      </c>
      <c r="I37">
        <v>8</v>
      </c>
      <c r="J37">
        <v>0.71</v>
      </c>
      <c r="K37">
        <v>9</v>
      </c>
      <c r="L37">
        <v>6.319148936170213</v>
      </c>
      <c r="N37" s="37"/>
      <c r="O37" t="s">
        <v>171</v>
      </c>
      <c r="P37" s="7">
        <f t="shared" si="6"/>
        <v>2.552936170212766</v>
      </c>
      <c r="Q37" s="7">
        <f t="shared" si="6"/>
        <v>2.552936170212766</v>
      </c>
      <c r="R37" s="7">
        <f t="shared" si="6"/>
        <v>2.774106382978723</v>
      </c>
      <c r="S37" s="7">
        <f t="shared" si="6"/>
        <v>2.774106382978723</v>
      </c>
      <c r="T37" s="7">
        <f t="shared" si="6"/>
        <v>2.6603617021276595</v>
      </c>
      <c r="U37" s="7">
        <f t="shared" si="6"/>
        <v>2.6603617021276595</v>
      </c>
      <c r="V37" s="7">
        <f t="shared" si="7"/>
        <v>2.662468085106383</v>
      </c>
      <c r="W37" s="7">
        <f t="shared" si="8"/>
        <v>0.04038546502670564</v>
      </c>
      <c r="X37" s="38"/>
      <c r="AB37" s="37"/>
    </row>
    <row r="38" spans="2:28" ht="15">
      <c r="B38" t="s">
        <v>172</v>
      </c>
      <c r="C38">
        <v>100</v>
      </c>
      <c r="D38">
        <v>7.5</v>
      </c>
      <c r="E38">
        <v>184</v>
      </c>
      <c r="F38">
        <v>13.8</v>
      </c>
      <c r="G38">
        <v>25</v>
      </c>
      <c r="H38">
        <v>1.88</v>
      </c>
      <c r="I38">
        <v>8</v>
      </c>
      <c r="J38">
        <v>0.6</v>
      </c>
      <c r="K38">
        <v>7</v>
      </c>
      <c r="L38">
        <v>4.914893617021277</v>
      </c>
      <c r="N38" s="37"/>
      <c r="O38" t="s">
        <v>172</v>
      </c>
      <c r="P38" s="7">
        <f t="shared" si="6"/>
        <v>1.985617021276596</v>
      </c>
      <c r="Q38" s="7">
        <f t="shared" si="6"/>
        <v>1.985617021276596</v>
      </c>
      <c r="R38" s="7">
        <f t="shared" si="6"/>
        <v>2.1576382978723405</v>
      </c>
      <c r="S38" s="7">
        <f t="shared" si="6"/>
        <v>2.1576382978723405</v>
      </c>
      <c r="T38" s="7">
        <f t="shared" si="6"/>
        <v>2.0691702127659575</v>
      </c>
      <c r="U38" s="7">
        <f t="shared" si="6"/>
        <v>2.0691702127659575</v>
      </c>
      <c r="V38" s="7">
        <f t="shared" si="7"/>
        <v>2.070808510638298</v>
      </c>
      <c r="W38" s="7">
        <f t="shared" si="8"/>
        <v>0.03141091724299328</v>
      </c>
      <c r="X38" s="38"/>
      <c r="AB38" s="37"/>
    </row>
    <row r="39" spans="2:28" ht="15">
      <c r="B39" t="s">
        <v>173</v>
      </c>
      <c r="C39">
        <v>42</v>
      </c>
      <c r="D39">
        <v>4.99</v>
      </c>
      <c r="E39">
        <v>85</v>
      </c>
      <c r="F39">
        <v>10.1</v>
      </c>
      <c r="G39">
        <v>12</v>
      </c>
      <c r="H39">
        <v>1.43</v>
      </c>
      <c r="I39">
        <v>11</v>
      </c>
      <c r="J39">
        <v>1.31</v>
      </c>
      <c r="K39">
        <v>5</v>
      </c>
      <c r="L39">
        <v>3.5106382978723403</v>
      </c>
      <c r="N39" s="37"/>
      <c r="O39" t="s">
        <v>173</v>
      </c>
      <c r="P39" s="7">
        <f t="shared" si="6"/>
        <v>1.4182978723404256</v>
      </c>
      <c r="Q39" s="7">
        <f t="shared" si="6"/>
        <v>1.4182978723404256</v>
      </c>
      <c r="R39" s="7">
        <f t="shared" si="6"/>
        <v>1.5411702127659574</v>
      </c>
      <c r="S39" s="7">
        <f t="shared" si="6"/>
        <v>1.5411702127659574</v>
      </c>
      <c r="T39" s="7">
        <f t="shared" si="6"/>
        <v>1.4779787234042554</v>
      </c>
      <c r="U39" s="7">
        <f t="shared" si="6"/>
        <v>1.4779787234042554</v>
      </c>
      <c r="V39" s="7">
        <f t="shared" si="7"/>
        <v>1.4791489361702128</v>
      </c>
      <c r="W39" s="7">
        <f t="shared" si="8"/>
        <v>0.022436369459280927</v>
      </c>
      <c r="X39" s="38"/>
      <c r="AB39" s="37"/>
    </row>
    <row r="40" spans="2:28" ht="15">
      <c r="B40" t="s">
        <v>174</v>
      </c>
      <c r="C40">
        <v>67</v>
      </c>
      <c r="D40">
        <v>7.7</v>
      </c>
      <c r="E40">
        <v>94</v>
      </c>
      <c r="F40">
        <v>10.8</v>
      </c>
      <c r="G40">
        <v>56</v>
      </c>
      <c r="H40">
        <v>6.44</v>
      </c>
      <c r="I40">
        <v>26</v>
      </c>
      <c r="J40">
        <v>2.99</v>
      </c>
      <c r="K40">
        <v>12</v>
      </c>
      <c r="L40">
        <v>8.425531914893616</v>
      </c>
      <c r="N40" s="37"/>
      <c r="O40" t="s">
        <v>174</v>
      </c>
      <c r="P40" s="7">
        <f t="shared" si="6"/>
        <v>3.4039148936170207</v>
      </c>
      <c r="Q40" s="7">
        <f t="shared" si="6"/>
        <v>3.4039148936170207</v>
      </c>
      <c r="R40" s="7">
        <f t="shared" si="6"/>
        <v>3.6988085106382975</v>
      </c>
      <c r="S40" s="7">
        <f t="shared" si="6"/>
        <v>3.6988085106382975</v>
      </c>
      <c r="T40" s="7">
        <f t="shared" si="6"/>
        <v>3.5471489361702124</v>
      </c>
      <c r="U40" s="7">
        <f t="shared" si="6"/>
        <v>3.5471489361702124</v>
      </c>
      <c r="V40" s="7">
        <f t="shared" si="7"/>
        <v>3.5499574468085107</v>
      </c>
      <c r="W40" s="7">
        <f t="shared" si="8"/>
        <v>0.0538472867022743</v>
      </c>
      <c r="X40" s="38"/>
      <c r="AB40" s="37"/>
    </row>
    <row r="41" spans="2:28" ht="15">
      <c r="B41" t="s">
        <v>175</v>
      </c>
      <c r="C41">
        <v>50</v>
      </c>
      <c r="D41">
        <v>5.25</v>
      </c>
      <c r="E41">
        <v>71</v>
      </c>
      <c r="F41">
        <v>7.45</v>
      </c>
      <c r="G41">
        <v>19</v>
      </c>
      <c r="H41">
        <v>1.99</v>
      </c>
      <c r="I41">
        <v>15</v>
      </c>
      <c r="J41">
        <v>1.58</v>
      </c>
      <c r="K41">
        <v>7</v>
      </c>
      <c r="L41">
        <v>4.914893617021277</v>
      </c>
      <c r="N41" s="37"/>
      <c r="O41" t="s">
        <v>175</v>
      </c>
      <c r="P41" s="7">
        <f t="shared" si="6"/>
        <v>1.985617021276596</v>
      </c>
      <c r="Q41" s="7">
        <f t="shared" si="6"/>
        <v>1.985617021276596</v>
      </c>
      <c r="R41" s="7">
        <f t="shared" si="6"/>
        <v>2.1576382978723405</v>
      </c>
      <c r="S41" s="7">
        <f t="shared" si="6"/>
        <v>2.1576382978723405</v>
      </c>
      <c r="T41" s="7">
        <f t="shared" si="6"/>
        <v>2.0691702127659575</v>
      </c>
      <c r="U41" s="7">
        <f t="shared" si="6"/>
        <v>2.0691702127659575</v>
      </c>
      <c r="V41" s="7">
        <f t="shared" si="7"/>
        <v>2.070808510638298</v>
      </c>
      <c r="W41" s="7">
        <f t="shared" si="8"/>
        <v>0.03141091724299328</v>
      </c>
      <c r="X41" s="38"/>
      <c r="AB41" s="37"/>
    </row>
    <row r="42" spans="2:28" ht="15">
      <c r="B42" t="s">
        <v>176</v>
      </c>
      <c r="C42">
        <v>69</v>
      </c>
      <c r="D42">
        <v>9.04</v>
      </c>
      <c r="E42">
        <v>92</v>
      </c>
      <c r="F42">
        <v>12.1</v>
      </c>
      <c r="G42">
        <v>24</v>
      </c>
      <c r="H42">
        <v>3.14</v>
      </c>
      <c r="I42">
        <v>20</v>
      </c>
      <c r="J42">
        <v>2.62</v>
      </c>
      <c r="K42">
        <v>14</v>
      </c>
      <c r="L42">
        <v>9.829787234042554</v>
      </c>
      <c r="N42" s="37"/>
      <c r="O42" t="s">
        <v>176</v>
      </c>
      <c r="P42" s="7">
        <f t="shared" si="6"/>
        <v>3.971234042553192</v>
      </c>
      <c r="Q42" s="7">
        <f t="shared" si="6"/>
        <v>3.971234042553192</v>
      </c>
      <c r="R42" s="7">
        <f t="shared" si="6"/>
        <v>4.315276595744681</v>
      </c>
      <c r="S42" s="7">
        <f t="shared" si="6"/>
        <v>4.315276595744681</v>
      </c>
      <c r="T42" s="7">
        <f t="shared" si="6"/>
        <v>4.138340425531915</v>
      </c>
      <c r="U42" s="7">
        <f t="shared" si="6"/>
        <v>4.138340425531915</v>
      </c>
      <c r="V42" s="7">
        <f t="shared" si="7"/>
        <v>4.141617021276596</v>
      </c>
      <c r="W42" s="7">
        <f t="shared" si="8"/>
        <v>0.06282183448598656</v>
      </c>
      <c r="X42" s="38"/>
      <c r="AB42" s="37"/>
    </row>
    <row r="43" spans="2:28" ht="15">
      <c r="B43" t="s">
        <v>177</v>
      </c>
      <c r="C43">
        <v>43</v>
      </c>
      <c r="D43">
        <v>5.63</v>
      </c>
      <c r="E43">
        <v>68</v>
      </c>
      <c r="F43">
        <v>8.91</v>
      </c>
      <c r="G43">
        <v>13</v>
      </c>
      <c r="H43">
        <v>1.7</v>
      </c>
      <c r="I43">
        <v>12</v>
      </c>
      <c r="J43">
        <v>1.57</v>
      </c>
      <c r="K43">
        <v>6</v>
      </c>
      <c r="L43">
        <v>4.212765957446808</v>
      </c>
      <c r="N43" s="37"/>
      <c r="O43" t="s">
        <v>177</v>
      </c>
      <c r="P43" s="7">
        <f t="shared" si="6"/>
        <v>1.7019574468085104</v>
      </c>
      <c r="Q43" s="7">
        <f t="shared" si="6"/>
        <v>1.7019574468085104</v>
      </c>
      <c r="R43" s="7">
        <f t="shared" si="6"/>
        <v>1.8494042553191488</v>
      </c>
      <c r="S43" s="7">
        <f t="shared" si="6"/>
        <v>1.8494042553191488</v>
      </c>
      <c r="T43" s="7">
        <f t="shared" si="6"/>
        <v>1.7735744680851062</v>
      </c>
      <c r="U43" s="7">
        <f t="shared" si="6"/>
        <v>1.7735744680851062</v>
      </c>
      <c r="V43" s="7">
        <f t="shared" si="7"/>
        <v>1.7749787234042553</v>
      </c>
      <c r="W43" s="7">
        <f t="shared" si="8"/>
        <v>0.02692364335113715</v>
      </c>
      <c r="X43" s="38"/>
      <c r="AB43" s="37"/>
    </row>
    <row r="44" spans="2:28" ht="15">
      <c r="B44" t="s">
        <v>178</v>
      </c>
      <c r="C44">
        <v>58</v>
      </c>
      <c r="D44">
        <v>6.78</v>
      </c>
      <c r="E44">
        <v>77</v>
      </c>
      <c r="F44">
        <v>9.01</v>
      </c>
      <c r="G44">
        <v>14</v>
      </c>
      <c r="H44">
        <v>1.64</v>
      </c>
      <c r="I44">
        <v>15</v>
      </c>
      <c r="J44">
        <v>1.76</v>
      </c>
      <c r="K44">
        <v>7</v>
      </c>
      <c r="L44">
        <v>4.914893617021277</v>
      </c>
      <c r="N44" s="37"/>
      <c r="O44" t="s">
        <v>178</v>
      </c>
      <c r="P44" s="7">
        <f t="shared" si="6"/>
        <v>1.985617021276596</v>
      </c>
      <c r="Q44" s="7">
        <f t="shared" si="6"/>
        <v>1.985617021276596</v>
      </c>
      <c r="R44" s="7">
        <f t="shared" si="6"/>
        <v>2.1576382978723405</v>
      </c>
      <c r="S44" s="7">
        <f t="shared" si="6"/>
        <v>2.1576382978723405</v>
      </c>
      <c r="T44" s="7">
        <f t="shared" si="6"/>
        <v>2.0691702127659575</v>
      </c>
      <c r="U44" s="7">
        <f t="shared" si="6"/>
        <v>2.0691702127659575</v>
      </c>
      <c r="V44" s="7">
        <f t="shared" si="7"/>
        <v>2.070808510638298</v>
      </c>
      <c r="W44" s="7">
        <f t="shared" si="8"/>
        <v>0.03141091724299328</v>
      </c>
      <c r="X44" s="38"/>
      <c r="AB44" s="37"/>
    </row>
    <row r="45" spans="2:28" ht="15">
      <c r="B45" t="s">
        <v>179</v>
      </c>
      <c r="C45">
        <v>32</v>
      </c>
      <c r="D45">
        <v>5.28</v>
      </c>
      <c r="E45">
        <v>41</v>
      </c>
      <c r="F45">
        <v>6.76</v>
      </c>
      <c r="G45">
        <v>13</v>
      </c>
      <c r="H45">
        <v>2.14</v>
      </c>
      <c r="I45">
        <v>8</v>
      </c>
      <c r="J45">
        <v>1.32</v>
      </c>
      <c r="K45">
        <v>7</v>
      </c>
      <c r="L45">
        <v>4.914893617021277</v>
      </c>
      <c r="N45" s="37"/>
      <c r="O45" t="s">
        <v>179</v>
      </c>
      <c r="P45" s="7">
        <f t="shared" si="6"/>
        <v>1.985617021276596</v>
      </c>
      <c r="Q45" s="7">
        <f t="shared" si="6"/>
        <v>1.985617021276596</v>
      </c>
      <c r="R45" s="7">
        <f t="shared" si="6"/>
        <v>2.1576382978723405</v>
      </c>
      <c r="S45" s="7">
        <f t="shared" si="6"/>
        <v>2.1576382978723405</v>
      </c>
      <c r="T45" s="7">
        <f t="shared" si="6"/>
        <v>2.0691702127659575</v>
      </c>
      <c r="U45" s="7">
        <f t="shared" si="6"/>
        <v>2.0691702127659575</v>
      </c>
      <c r="V45" s="7">
        <f t="shared" si="7"/>
        <v>2.070808510638298</v>
      </c>
      <c r="W45" s="7">
        <f t="shared" si="8"/>
        <v>0.03141091724299328</v>
      </c>
      <c r="X45" s="38"/>
      <c r="AB45" s="37"/>
    </row>
    <row r="46" spans="2:28" ht="15">
      <c r="B46" t="s">
        <v>180</v>
      </c>
      <c r="C46">
        <v>18</v>
      </c>
      <c r="D46">
        <v>3.26</v>
      </c>
      <c r="E46">
        <v>24</v>
      </c>
      <c r="F46">
        <v>4.34</v>
      </c>
      <c r="G46">
        <v>2</v>
      </c>
      <c r="H46">
        <v>0.36</v>
      </c>
      <c r="I46">
        <v>4</v>
      </c>
      <c r="J46">
        <v>0.72</v>
      </c>
      <c r="K46">
        <v>4</v>
      </c>
      <c r="L46">
        <v>2.8085106382978724</v>
      </c>
      <c r="N46" s="37"/>
      <c r="O46" t="s">
        <v>180</v>
      </c>
      <c r="P46" s="7">
        <f t="shared" si="6"/>
        <v>1.1346382978723404</v>
      </c>
      <c r="Q46" s="7">
        <f t="shared" si="6"/>
        <v>1.1346382978723404</v>
      </c>
      <c r="R46" s="7">
        <f t="shared" si="6"/>
        <v>1.232936170212766</v>
      </c>
      <c r="S46" s="7">
        <f t="shared" si="6"/>
        <v>1.232936170212766</v>
      </c>
      <c r="T46" s="7">
        <f t="shared" si="6"/>
        <v>1.1823829787234041</v>
      </c>
      <c r="U46" s="7">
        <f t="shared" si="6"/>
        <v>1.1823829787234041</v>
      </c>
      <c r="V46" s="7">
        <f t="shared" si="7"/>
        <v>1.1833191489361703</v>
      </c>
      <c r="W46" s="7">
        <f t="shared" si="8"/>
        <v>0.017949095567424755</v>
      </c>
      <c r="X46" s="38"/>
      <c r="AB46" s="37"/>
    </row>
    <row r="47" spans="2:28" ht="15">
      <c r="B47" s="43" t="s">
        <v>181</v>
      </c>
      <c r="C47" s="43"/>
      <c r="D47" s="43">
        <v>2.37</v>
      </c>
      <c r="E47" s="43"/>
      <c r="F47" s="43">
        <v>1.06</v>
      </c>
      <c r="G47" s="43"/>
      <c r="H47" s="43">
        <v>1.31</v>
      </c>
      <c r="I47" s="43"/>
      <c r="J47" s="43">
        <v>0.71</v>
      </c>
      <c r="K47">
        <v>3</v>
      </c>
      <c r="L47">
        <v>2.106382978723404</v>
      </c>
      <c r="N47" s="37"/>
      <c r="O47" t="s">
        <v>181</v>
      </c>
      <c r="P47" s="7">
        <f t="shared" si="6"/>
        <v>0.8509787234042552</v>
      </c>
      <c r="Q47" s="7">
        <f t="shared" si="6"/>
        <v>0.8509787234042552</v>
      </c>
      <c r="R47" s="7">
        <f t="shared" si="6"/>
        <v>0.9247021276595744</v>
      </c>
      <c r="S47" s="7">
        <f t="shared" si="6"/>
        <v>0.9247021276595744</v>
      </c>
      <c r="T47" s="7">
        <f t="shared" si="6"/>
        <v>0.8867872340425531</v>
      </c>
      <c r="U47" s="7">
        <f t="shared" si="6"/>
        <v>0.8867872340425531</v>
      </c>
      <c r="V47" s="7">
        <f t="shared" si="7"/>
        <v>0.8874893617021277</v>
      </c>
      <c r="W47" s="7">
        <f t="shared" si="8"/>
        <v>0.013461821675568576</v>
      </c>
      <c r="X47" s="38"/>
      <c r="AB47" s="37"/>
    </row>
    <row r="48" spans="2:28" ht="15">
      <c r="B48" s="43" t="s">
        <v>182</v>
      </c>
      <c r="C48" s="43"/>
      <c r="D48" s="43">
        <v>1.42</v>
      </c>
      <c r="E48" s="43"/>
      <c r="F48" s="43">
        <v>1.06</v>
      </c>
      <c r="G48" s="43"/>
      <c r="H48" s="43">
        <v>1.22</v>
      </c>
      <c r="I48" s="43"/>
      <c r="J48" s="43">
        <v>0.2</v>
      </c>
      <c r="K48">
        <v>3</v>
      </c>
      <c r="L48">
        <v>2.106382978723404</v>
      </c>
      <c r="N48" s="37"/>
      <c r="O48" t="s">
        <v>182</v>
      </c>
      <c r="P48" s="7">
        <f t="shared" si="6"/>
        <v>0.8509787234042552</v>
      </c>
      <c r="Q48" s="7">
        <f t="shared" si="6"/>
        <v>0.8509787234042552</v>
      </c>
      <c r="R48" s="7">
        <f t="shared" si="6"/>
        <v>0.9247021276595744</v>
      </c>
      <c r="S48" s="7">
        <f t="shared" si="6"/>
        <v>0.9247021276595744</v>
      </c>
      <c r="T48" s="7">
        <f t="shared" si="6"/>
        <v>0.8867872340425531</v>
      </c>
      <c r="U48" s="7">
        <f t="shared" si="6"/>
        <v>0.8867872340425531</v>
      </c>
      <c r="V48" s="7">
        <f t="shared" si="7"/>
        <v>0.8874893617021277</v>
      </c>
      <c r="W48" s="7">
        <f t="shared" si="8"/>
        <v>0.013461821675568576</v>
      </c>
      <c r="X48" s="38"/>
      <c r="AB48" s="37"/>
    </row>
    <row r="49" spans="2:28" ht="15">
      <c r="B49" t="s">
        <v>183</v>
      </c>
      <c r="C49">
        <v>55</v>
      </c>
      <c r="D49">
        <v>8.03</v>
      </c>
      <c r="E49">
        <v>97</v>
      </c>
      <c r="F49">
        <v>14.16</v>
      </c>
      <c r="G49">
        <v>4</v>
      </c>
      <c r="H49">
        <v>0.58</v>
      </c>
      <c r="I49">
        <v>12</v>
      </c>
      <c r="J49">
        <v>1.75</v>
      </c>
      <c r="K49">
        <v>7</v>
      </c>
      <c r="L49">
        <v>4.914893617021277</v>
      </c>
      <c r="N49" s="37"/>
      <c r="O49" t="s">
        <v>183</v>
      </c>
      <c r="P49" s="7">
        <f t="shared" si="6"/>
        <v>1.985617021276596</v>
      </c>
      <c r="Q49" s="7">
        <f t="shared" si="6"/>
        <v>1.985617021276596</v>
      </c>
      <c r="R49" s="7">
        <f t="shared" si="6"/>
        <v>2.1576382978723405</v>
      </c>
      <c r="S49" s="7">
        <f t="shared" si="6"/>
        <v>2.1576382978723405</v>
      </c>
      <c r="T49" s="7">
        <f t="shared" si="6"/>
        <v>2.0691702127659575</v>
      </c>
      <c r="U49" s="7">
        <f t="shared" si="6"/>
        <v>2.0691702127659575</v>
      </c>
      <c r="V49" s="7">
        <f t="shared" si="7"/>
        <v>2.070808510638298</v>
      </c>
      <c r="W49" s="7">
        <f t="shared" si="8"/>
        <v>0.03141091724299328</v>
      </c>
      <c r="X49" s="38"/>
      <c r="AB49" s="37"/>
    </row>
    <row r="50" spans="2:28" ht="15">
      <c r="B50" t="s">
        <v>184</v>
      </c>
      <c r="C50">
        <v>15</v>
      </c>
      <c r="D50">
        <v>2.33</v>
      </c>
      <c r="E50">
        <v>31</v>
      </c>
      <c r="F50">
        <v>4.81</v>
      </c>
      <c r="G50">
        <v>8</v>
      </c>
      <c r="H50">
        <v>1.24</v>
      </c>
      <c r="I50">
        <v>7</v>
      </c>
      <c r="J50">
        <v>1.08</v>
      </c>
      <c r="K50">
        <v>4</v>
      </c>
      <c r="L50">
        <v>2.8085106382978724</v>
      </c>
      <c r="N50" s="37"/>
      <c r="O50" t="s">
        <v>184</v>
      </c>
      <c r="P50" s="7">
        <f t="shared" si="6"/>
        <v>1.1346382978723404</v>
      </c>
      <c r="Q50" s="7">
        <f t="shared" si="6"/>
        <v>1.1346382978723404</v>
      </c>
      <c r="R50" s="7">
        <f t="shared" si="6"/>
        <v>1.232936170212766</v>
      </c>
      <c r="S50" s="7">
        <f t="shared" si="6"/>
        <v>1.232936170212766</v>
      </c>
      <c r="T50" s="7">
        <f t="shared" si="6"/>
        <v>1.1823829787234041</v>
      </c>
      <c r="U50" s="7">
        <f t="shared" si="6"/>
        <v>1.1823829787234041</v>
      </c>
      <c r="V50" s="7">
        <f t="shared" si="7"/>
        <v>1.1833191489361703</v>
      </c>
      <c r="W50" s="7">
        <f t="shared" si="8"/>
        <v>0.017949095567424755</v>
      </c>
      <c r="X50" s="38"/>
      <c r="AB50" s="37"/>
    </row>
    <row r="51" spans="2:28" ht="15">
      <c r="B51" t="s">
        <v>185</v>
      </c>
      <c r="C51">
        <v>40</v>
      </c>
      <c r="D51">
        <v>6.96</v>
      </c>
      <c r="E51">
        <v>75</v>
      </c>
      <c r="F51">
        <v>13.05</v>
      </c>
      <c r="G51">
        <v>7</v>
      </c>
      <c r="H51">
        <v>1.22</v>
      </c>
      <c r="I51">
        <v>6</v>
      </c>
      <c r="J51">
        <v>1.04</v>
      </c>
      <c r="K51">
        <v>8</v>
      </c>
      <c r="L51">
        <v>5.617021276595745</v>
      </c>
      <c r="N51" s="37"/>
      <c r="O51" t="s">
        <v>185</v>
      </c>
      <c r="P51" s="7">
        <f aca="true" t="shared" si="9" ref="P51:U52">$E23/1000*P$32</f>
        <v>2.2692765957446808</v>
      </c>
      <c r="Q51" s="7">
        <f t="shared" si="9"/>
        <v>2.2692765957446808</v>
      </c>
      <c r="R51" s="7">
        <f t="shared" si="9"/>
        <v>2.465872340425532</v>
      </c>
      <c r="S51" s="7">
        <f t="shared" si="9"/>
        <v>2.465872340425532</v>
      </c>
      <c r="T51" s="7">
        <f t="shared" si="9"/>
        <v>2.3647659574468083</v>
      </c>
      <c r="U51" s="7">
        <f t="shared" si="9"/>
        <v>2.3647659574468083</v>
      </c>
      <c r="V51" s="7">
        <f t="shared" si="7"/>
        <v>2.3666382978723406</v>
      </c>
      <c r="W51" s="7">
        <f t="shared" si="8"/>
        <v>0.03589819113484951</v>
      </c>
      <c r="X51" s="38"/>
      <c r="AB51" s="37"/>
    </row>
    <row r="52" spans="2:24" ht="15">
      <c r="B52" s="43" t="s">
        <v>186</v>
      </c>
      <c r="C52" s="43"/>
      <c r="D52" s="43">
        <v>1.31</v>
      </c>
      <c r="E52" s="43"/>
      <c r="F52" s="43">
        <v>0.14</v>
      </c>
      <c r="G52" s="43"/>
      <c r="H52" s="43">
        <v>0.84</v>
      </c>
      <c r="I52" s="43"/>
      <c r="J52" s="43">
        <v>0.39</v>
      </c>
      <c r="K52">
        <v>2</v>
      </c>
      <c r="L52">
        <v>1.4042553191489362</v>
      </c>
      <c r="O52" t="s">
        <v>186</v>
      </c>
      <c r="P52" s="7">
        <f t="shared" si="9"/>
        <v>0.5673191489361702</v>
      </c>
      <c r="Q52" s="7">
        <f t="shared" si="9"/>
        <v>0.5673191489361702</v>
      </c>
      <c r="R52" s="7">
        <f t="shared" si="9"/>
        <v>0.616468085106383</v>
      </c>
      <c r="S52" s="7">
        <f t="shared" si="9"/>
        <v>0.616468085106383</v>
      </c>
      <c r="T52" s="7">
        <f t="shared" si="9"/>
        <v>0.5911914893617021</v>
      </c>
      <c r="U52" s="7">
        <f t="shared" si="9"/>
        <v>0.5911914893617021</v>
      </c>
      <c r="V52" s="7">
        <f t="shared" si="7"/>
        <v>0.5916595744680851</v>
      </c>
      <c r="W52" s="7">
        <f t="shared" si="8"/>
        <v>0.008974547783712377</v>
      </c>
      <c r="X52" s="38"/>
    </row>
    <row r="53" spans="16:24" ht="15">
      <c r="P53" s="7"/>
      <c r="Q53" s="7"/>
      <c r="R53" s="7"/>
      <c r="S53" s="7"/>
      <c r="T53" s="15"/>
      <c r="U53" s="15"/>
      <c r="V53" s="7"/>
      <c r="W53" s="7"/>
      <c r="X53" s="38"/>
    </row>
    <row r="54" spans="2:38" ht="15">
      <c r="B54" t="s">
        <v>187</v>
      </c>
      <c r="D54">
        <f>SUM(D35:D52)</f>
        <v>113.01</v>
      </c>
      <c r="F54">
        <f>SUM(F35:F52)</f>
        <v>169.13</v>
      </c>
      <c r="H54">
        <f>SUM(H35:H52)</f>
        <v>44.27</v>
      </c>
      <c r="J54">
        <f>SUM(J35:J52)</f>
        <v>29.03</v>
      </c>
      <c r="K54">
        <f>SUM(K35:K52)</f>
        <v>143</v>
      </c>
      <c r="L54">
        <v>100.40425531914894</v>
      </c>
      <c r="O54" t="s">
        <v>187</v>
      </c>
      <c r="P54" s="7">
        <f aca="true" t="shared" si="10" ref="P54:U54">SUM(P35:P52)</f>
        <v>40.563319148936166</v>
      </c>
      <c r="Q54" s="7">
        <f t="shared" si="10"/>
        <v>40.563319148936166</v>
      </c>
      <c r="R54" s="7">
        <f t="shared" si="10"/>
        <v>44.077468085106375</v>
      </c>
      <c r="S54" s="7">
        <f t="shared" si="10"/>
        <v>44.077468085106375</v>
      </c>
      <c r="T54" s="15">
        <f t="shared" si="10"/>
        <v>42.2701914893617</v>
      </c>
      <c r="U54" s="15">
        <f t="shared" si="10"/>
        <v>42.2701914893617</v>
      </c>
      <c r="V54" s="39">
        <f>AVERAGE(P54:U54)</f>
        <v>42.30365957446808</v>
      </c>
      <c r="W54" s="39">
        <f>STDEV(P54:U54)/SQRT(6)</f>
        <v>0.6416801665354342</v>
      </c>
      <c r="X54" s="44">
        <v>0.8338</v>
      </c>
      <c r="AJ54" s="1"/>
      <c r="AK54" s="1"/>
      <c r="AL54" s="40"/>
    </row>
  </sheetData>
  <sheetProtection/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70" zoomScaleNormal="70" zoomScalePageLayoutView="0" workbookViewId="0" topLeftCell="A1">
      <selection activeCell="T29" sqref="T29:U29"/>
    </sheetView>
  </sheetViews>
  <sheetFormatPr defaultColWidth="11.421875" defaultRowHeight="15"/>
  <sheetData>
    <row r="1" spans="1:21" ht="15">
      <c r="A1" s="1" t="s">
        <v>121</v>
      </c>
      <c r="L1" s="1" t="s">
        <v>122</v>
      </c>
      <c r="R1" s="11"/>
      <c r="S1" s="11"/>
      <c r="T1" s="11"/>
      <c r="U1" s="11"/>
    </row>
    <row r="2" spans="1:21" ht="15">
      <c r="A2" s="1" t="s">
        <v>196</v>
      </c>
      <c r="I2" t="s">
        <v>61</v>
      </c>
      <c r="J2" t="s">
        <v>62</v>
      </c>
      <c r="R2" s="11"/>
      <c r="S2" s="11"/>
      <c r="T2" s="11" t="s">
        <v>61</v>
      </c>
      <c r="U2" s="11" t="s">
        <v>62</v>
      </c>
    </row>
    <row r="3" spans="1:21" ht="15">
      <c r="A3" s="1"/>
      <c r="L3" s="1"/>
      <c r="R3" s="11"/>
      <c r="S3" s="11"/>
      <c r="T3" s="11"/>
      <c r="U3" s="11"/>
    </row>
    <row r="4" spans="1:21" ht="15">
      <c r="A4" t="s">
        <v>104</v>
      </c>
      <c r="C4">
        <v>389</v>
      </c>
      <c r="D4">
        <v>355</v>
      </c>
      <c r="E4">
        <v>351</v>
      </c>
      <c r="F4">
        <v>336</v>
      </c>
      <c r="G4">
        <v>358</v>
      </c>
      <c r="H4">
        <v>334</v>
      </c>
      <c r="I4">
        <f>AVERAGE(C4:H4)</f>
        <v>353.8333333333333</v>
      </c>
      <c r="J4">
        <f>STDEV(C4:H4)/SQRT(6)</f>
        <v>8.113431935856601</v>
      </c>
      <c r="L4" t="s">
        <v>104</v>
      </c>
      <c r="N4">
        <v>231</v>
      </c>
      <c r="O4">
        <v>228</v>
      </c>
      <c r="P4">
        <v>237</v>
      </c>
      <c r="Q4">
        <v>247</v>
      </c>
      <c r="R4">
        <v>226</v>
      </c>
      <c r="S4">
        <v>230</v>
      </c>
      <c r="T4">
        <f>AVERAGE(N4:S4)</f>
        <v>233.16666666666666</v>
      </c>
      <c r="U4">
        <f>STDEV(N4:S4)/SQRT(6)</f>
        <v>3.156122797216723</v>
      </c>
    </row>
    <row r="5" spans="18:19" ht="15">
      <c r="R5" s="11"/>
      <c r="S5" s="11"/>
    </row>
    <row r="6" spans="1:21" ht="15">
      <c r="A6" t="s">
        <v>105</v>
      </c>
      <c r="B6" t="s">
        <v>69</v>
      </c>
      <c r="C6">
        <v>0.132</v>
      </c>
      <c r="D6">
        <v>0.132</v>
      </c>
      <c r="E6">
        <v>0.132</v>
      </c>
      <c r="F6">
        <v>0.132</v>
      </c>
      <c r="G6">
        <v>0.132</v>
      </c>
      <c r="H6">
        <v>0.132</v>
      </c>
      <c r="I6">
        <f>AVERAGE(C6:H6)</f>
        <v>0.132</v>
      </c>
      <c r="J6">
        <f>STDEV(C6:H6)/SQRT(6)</f>
        <v>0</v>
      </c>
      <c r="L6" t="s">
        <v>105</v>
      </c>
      <c r="M6" t="s">
        <v>69</v>
      </c>
      <c r="N6">
        <v>0.172</v>
      </c>
      <c r="O6">
        <v>0.172</v>
      </c>
      <c r="P6">
        <v>0.172</v>
      </c>
      <c r="Q6">
        <v>0.172</v>
      </c>
      <c r="R6">
        <v>0.172</v>
      </c>
      <c r="S6">
        <v>0.172</v>
      </c>
      <c r="T6">
        <f>AVERAGE(N6:S6)</f>
        <v>0.17199999999999996</v>
      </c>
      <c r="U6">
        <f>STDEV(N6:S6)/SQRT(6)</f>
        <v>1.2412670766236365E-17</v>
      </c>
    </row>
    <row r="7" spans="1:21" ht="15">
      <c r="A7" t="s">
        <v>106</v>
      </c>
      <c r="B7" t="s">
        <v>69</v>
      </c>
      <c r="C7">
        <v>0.192</v>
      </c>
      <c r="D7">
        <v>0.192</v>
      </c>
      <c r="E7">
        <v>0.192</v>
      </c>
      <c r="F7">
        <v>0.192</v>
      </c>
      <c r="G7">
        <v>0.192</v>
      </c>
      <c r="H7">
        <v>0.192</v>
      </c>
      <c r="I7">
        <f>AVERAGE(C7:H7)</f>
        <v>0.19199999999999998</v>
      </c>
      <c r="J7">
        <f>STDEV(C7:H7)/SQRT(6)</f>
        <v>1.2412670766236365E-17</v>
      </c>
      <c r="L7" t="s">
        <v>106</v>
      </c>
      <c r="M7" t="s">
        <v>69</v>
      </c>
      <c r="N7">
        <v>0.178</v>
      </c>
      <c r="O7">
        <v>0.178</v>
      </c>
      <c r="P7">
        <v>0.178</v>
      </c>
      <c r="Q7">
        <v>0.178</v>
      </c>
      <c r="R7">
        <v>0.178</v>
      </c>
      <c r="S7">
        <v>0.178</v>
      </c>
      <c r="T7">
        <f>AVERAGE(N7:S7)</f>
        <v>0.17799999999999996</v>
      </c>
      <c r="U7">
        <f>STDEV(N7:S7)/SQRT(6)</f>
        <v>1.2412670766236365E-17</v>
      </c>
    </row>
    <row r="8" spans="1:19" ht="15">
      <c r="A8" t="s">
        <v>0</v>
      </c>
      <c r="C8">
        <v>0.6193</v>
      </c>
      <c r="D8">
        <v>0.6193</v>
      </c>
      <c r="E8">
        <v>0.6193</v>
      </c>
      <c r="F8">
        <v>0.6193</v>
      </c>
      <c r="G8">
        <v>0.6193</v>
      </c>
      <c r="H8">
        <v>0.6193</v>
      </c>
      <c r="L8" t="s">
        <v>0</v>
      </c>
      <c r="N8">
        <v>0.6057</v>
      </c>
      <c r="O8">
        <v>0.6057</v>
      </c>
      <c r="P8">
        <v>0.6057</v>
      </c>
      <c r="Q8">
        <v>0.6057</v>
      </c>
      <c r="R8">
        <v>0.6057</v>
      </c>
      <c r="S8">
        <v>0.6057</v>
      </c>
    </row>
    <row r="9" spans="18:19" ht="15">
      <c r="R9" s="11"/>
      <c r="S9" s="11"/>
    </row>
    <row r="10" spans="1:21" ht="15">
      <c r="A10" t="s">
        <v>107</v>
      </c>
      <c r="C10">
        <f aca="true" t="shared" si="0" ref="C10:H10">C4*C6</f>
        <v>51.348</v>
      </c>
      <c r="D10">
        <f t="shared" si="0"/>
        <v>46.86</v>
      </c>
      <c r="E10">
        <f t="shared" si="0"/>
        <v>46.332</v>
      </c>
      <c r="F10">
        <f t="shared" si="0"/>
        <v>44.352000000000004</v>
      </c>
      <c r="G10">
        <f t="shared" si="0"/>
        <v>47.256</v>
      </c>
      <c r="H10">
        <f t="shared" si="0"/>
        <v>44.088</v>
      </c>
      <c r="I10">
        <f>AVERAGE(C10:H10)</f>
        <v>46.705999999999996</v>
      </c>
      <c r="J10">
        <f>STDEV(C10:H10)/SQRT(6)</f>
        <v>1.0709730155330708</v>
      </c>
      <c r="L10" t="s">
        <v>107</v>
      </c>
      <c r="N10">
        <f aca="true" t="shared" si="1" ref="N10:S10">N4*N6</f>
        <v>39.732</v>
      </c>
      <c r="O10">
        <f t="shared" si="1"/>
        <v>39.215999999999994</v>
      </c>
      <c r="P10">
        <f t="shared" si="1"/>
        <v>40.763999999999996</v>
      </c>
      <c r="Q10">
        <f t="shared" si="1"/>
        <v>42.483999999999995</v>
      </c>
      <c r="R10">
        <f t="shared" si="1"/>
        <v>38.872</v>
      </c>
      <c r="S10">
        <f t="shared" si="1"/>
        <v>39.559999999999995</v>
      </c>
      <c r="T10">
        <f>AVERAGE(N10:S10)</f>
        <v>40.10466666666667</v>
      </c>
      <c r="U10">
        <f>STDEV(N10:S10)/SQRT(6)</f>
        <v>0.542853121121276</v>
      </c>
    </row>
    <row r="11" spans="1:21" ht="15">
      <c r="A11" t="s">
        <v>108</v>
      </c>
      <c r="C11">
        <f aca="true" t="shared" si="2" ref="C11:H11">C4*C7</f>
        <v>74.688</v>
      </c>
      <c r="D11">
        <f t="shared" si="2"/>
        <v>68.16</v>
      </c>
      <c r="E11">
        <f t="shared" si="2"/>
        <v>67.392</v>
      </c>
      <c r="F11">
        <f t="shared" si="2"/>
        <v>64.512</v>
      </c>
      <c r="G11">
        <f t="shared" si="2"/>
        <v>68.736</v>
      </c>
      <c r="H11">
        <f t="shared" si="2"/>
        <v>64.128</v>
      </c>
      <c r="I11">
        <f>AVERAGE(C11:H11)</f>
        <v>67.93599999999999</v>
      </c>
      <c r="J11">
        <f>STDEV(C11:H11)/SQRT(6)</f>
        <v>1.5577789316844677</v>
      </c>
      <c r="L11" t="s">
        <v>108</v>
      </c>
      <c r="N11">
        <f aca="true" t="shared" si="3" ref="N11:S11">N4*N7</f>
        <v>41.117999999999995</v>
      </c>
      <c r="O11">
        <f t="shared" si="3"/>
        <v>40.583999999999996</v>
      </c>
      <c r="P11">
        <f t="shared" si="3"/>
        <v>42.186</v>
      </c>
      <c r="Q11">
        <f t="shared" si="3"/>
        <v>43.966</v>
      </c>
      <c r="R11">
        <f t="shared" si="3"/>
        <v>40.228</v>
      </c>
      <c r="S11">
        <f t="shared" si="3"/>
        <v>40.94</v>
      </c>
      <c r="T11">
        <f>AVERAGE(N11:S11)</f>
        <v>41.50366666666667</v>
      </c>
      <c r="U11">
        <f>STDEV(N11:S11)/SQRT(6)</f>
        <v>0.5617898579045771</v>
      </c>
    </row>
    <row r="12" spans="1:21" ht="15">
      <c r="A12" t="s">
        <v>1</v>
      </c>
      <c r="C12">
        <f aca="true" t="shared" si="4" ref="C12:H12">C4*C8</f>
        <v>240.90769999999998</v>
      </c>
      <c r="D12">
        <f t="shared" si="4"/>
        <v>219.8515</v>
      </c>
      <c r="E12">
        <f t="shared" si="4"/>
        <v>217.37429999999998</v>
      </c>
      <c r="F12">
        <f t="shared" si="4"/>
        <v>208.08479999999997</v>
      </c>
      <c r="G12">
        <f t="shared" si="4"/>
        <v>221.7094</v>
      </c>
      <c r="H12">
        <f t="shared" si="4"/>
        <v>206.84619999999998</v>
      </c>
      <c r="I12">
        <f>AVERAGE(C12:H12)</f>
        <v>219.1289833333333</v>
      </c>
      <c r="J12">
        <f>STDEV(C12:H12)/SQRT(6)</f>
        <v>5.0246483978759935</v>
      </c>
      <c r="L12" t="s">
        <v>1</v>
      </c>
      <c r="N12">
        <f aca="true" t="shared" si="5" ref="N12:S12">N4*N8</f>
        <v>139.9167</v>
      </c>
      <c r="O12">
        <f t="shared" si="5"/>
        <v>138.0996</v>
      </c>
      <c r="P12">
        <f t="shared" si="5"/>
        <v>143.5509</v>
      </c>
      <c r="Q12">
        <f t="shared" si="5"/>
        <v>149.6079</v>
      </c>
      <c r="R12">
        <f t="shared" si="5"/>
        <v>136.8882</v>
      </c>
      <c r="S12">
        <f t="shared" si="5"/>
        <v>139.311</v>
      </c>
      <c r="T12">
        <f>AVERAGE(N12:S12)</f>
        <v>141.22905</v>
      </c>
      <c r="U12">
        <f>STDEV(N12:S12)/SQRT(6)</f>
        <v>1.9116635782741687</v>
      </c>
    </row>
    <row r="13" spans="18:19" ht="15">
      <c r="R13" s="11"/>
      <c r="S13" s="11"/>
    </row>
    <row r="14" spans="1:21" ht="15">
      <c r="A14" t="s">
        <v>109</v>
      </c>
      <c r="C14">
        <v>478</v>
      </c>
      <c r="D14">
        <v>424</v>
      </c>
      <c r="E14">
        <v>438</v>
      </c>
      <c r="F14">
        <v>400</v>
      </c>
      <c r="G14">
        <v>465</v>
      </c>
      <c r="H14">
        <v>415</v>
      </c>
      <c r="I14">
        <f>AVERAGE(C14:H14)</f>
        <v>436.6666666666667</v>
      </c>
      <c r="J14">
        <f>STDEV(C14:H14)/SQRT(6)</f>
        <v>12.230199416926029</v>
      </c>
      <c r="L14" t="s">
        <v>109</v>
      </c>
      <c r="N14" s="6">
        <v>263</v>
      </c>
      <c r="O14" s="6">
        <v>256</v>
      </c>
      <c r="P14" s="6">
        <v>265</v>
      </c>
      <c r="Q14" s="6">
        <v>274</v>
      </c>
      <c r="R14" s="6">
        <v>255</v>
      </c>
      <c r="S14" s="6">
        <v>260</v>
      </c>
      <c r="T14">
        <f>AVERAGE(N14:S14)</f>
        <v>262.1666666666667</v>
      </c>
      <c r="U14">
        <f>STDEV(N14:S14)/SQRT(6)</f>
        <v>2.8450737151160856</v>
      </c>
    </row>
    <row r="15" spans="18:19" ht="15">
      <c r="R15" s="11"/>
      <c r="S15" s="11"/>
    </row>
    <row r="16" spans="1:19" ht="15">
      <c r="A16" t="s">
        <v>105</v>
      </c>
      <c r="B16" t="s">
        <v>69</v>
      </c>
      <c r="C16" s="45">
        <v>0.149</v>
      </c>
      <c r="D16" s="45">
        <v>0.149</v>
      </c>
      <c r="E16">
        <v>0.1547</v>
      </c>
      <c r="F16">
        <v>0.1348</v>
      </c>
      <c r="G16">
        <v>0.1633</v>
      </c>
      <c r="H16">
        <v>0.1459</v>
      </c>
      <c r="L16" t="s">
        <v>105</v>
      </c>
      <c r="M16" t="s">
        <v>69</v>
      </c>
      <c r="N16">
        <v>0.1685</v>
      </c>
      <c r="O16">
        <v>0.1362</v>
      </c>
      <c r="P16">
        <v>0.1633</v>
      </c>
      <c r="Q16">
        <v>0.1462</v>
      </c>
      <c r="R16">
        <v>0.1296</v>
      </c>
      <c r="S16">
        <v>0.157</v>
      </c>
    </row>
    <row r="17" spans="1:19" ht="15">
      <c r="A17" t="s">
        <v>106</v>
      </c>
      <c r="B17" t="s">
        <v>69</v>
      </c>
      <c r="C17">
        <v>0.1646</v>
      </c>
      <c r="D17">
        <v>0.1676</v>
      </c>
      <c r="E17">
        <v>0.1706</v>
      </c>
      <c r="F17">
        <v>0.1427</v>
      </c>
      <c r="G17">
        <v>0.1838</v>
      </c>
      <c r="H17">
        <v>0.1597</v>
      </c>
      <c r="L17" t="s">
        <v>106</v>
      </c>
      <c r="M17" t="s">
        <v>69</v>
      </c>
      <c r="N17">
        <v>0.1766</v>
      </c>
      <c r="O17">
        <v>0.1773</v>
      </c>
      <c r="P17">
        <v>0.1786</v>
      </c>
      <c r="Q17" s="45">
        <v>0.1808</v>
      </c>
      <c r="R17">
        <v>0.1817</v>
      </c>
      <c r="S17">
        <v>0.1868</v>
      </c>
    </row>
    <row r="18" spans="1:19" ht="15">
      <c r="A18" t="s">
        <v>0</v>
      </c>
      <c r="C18">
        <v>0.6071</v>
      </c>
      <c r="D18">
        <v>0.6243</v>
      </c>
      <c r="E18">
        <v>0.6177</v>
      </c>
      <c r="F18">
        <v>0.6143</v>
      </c>
      <c r="G18">
        <v>0.6184</v>
      </c>
      <c r="H18">
        <v>0.6287</v>
      </c>
      <c r="L18" t="s">
        <v>0</v>
      </c>
      <c r="N18">
        <v>0.608</v>
      </c>
      <c r="O18">
        <v>0.6231</v>
      </c>
      <c r="P18">
        <v>0.6284</v>
      </c>
      <c r="Q18" s="45">
        <v>0.6154</v>
      </c>
      <c r="R18">
        <v>0.6334</v>
      </c>
      <c r="S18">
        <v>0.6098</v>
      </c>
    </row>
    <row r="19" spans="18:19" ht="15">
      <c r="R19" s="11"/>
      <c r="S19" s="11"/>
    </row>
    <row r="20" spans="1:21" ht="15">
      <c r="A20" t="s">
        <v>107</v>
      </c>
      <c r="C20">
        <f aca="true" t="shared" si="6" ref="C20:H20">C14*C16</f>
        <v>71.222</v>
      </c>
      <c r="D20">
        <f t="shared" si="6"/>
        <v>63.175999999999995</v>
      </c>
      <c r="E20">
        <f t="shared" si="6"/>
        <v>67.7586</v>
      </c>
      <c r="F20">
        <f t="shared" si="6"/>
        <v>53.92</v>
      </c>
      <c r="G20">
        <f t="shared" si="6"/>
        <v>75.9345</v>
      </c>
      <c r="H20">
        <f t="shared" si="6"/>
        <v>60.548500000000004</v>
      </c>
      <c r="I20">
        <f>AVERAGE(C20:H20)</f>
        <v>65.4266</v>
      </c>
      <c r="J20">
        <f>STDEV(C20:H20)/SQRT(6)</f>
        <v>3.21819696465793</v>
      </c>
      <c r="L20" t="s">
        <v>107</v>
      </c>
      <c r="N20">
        <f aca="true" t="shared" si="7" ref="N20:S20">N14*N16</f>
        <v>44.3155</v>
      </c>
      <c r="O20">
        <f t="shared" si="7"/>
        <v>34.8672</v>
      </c>
      <c r="P20">
        <f t="shared" si="7"/>
        <v>43.2745</v>
      </c>
      <c r="Q20">
        <f t="shared" si="7"/>
        <v>40.0588</v>
      </c>
      <c r="R20">
        <f t="shared" si="7"/>
        <v>33.047999999999995</v>
      </c>
      <c r="S20">
        <f t="shared" si="7"/>
        <v>40.82</v>
      </c>
      <c r="T20">
        <f>AVERAGE(N20:S20)</f>
        <v>39.39733333333333</v>
      </c>
      <c r="U20">
        <f>STDEV(N20:S20)/SQRT(6)</f>
        <v>1.848589057572772</v>
      </c>
    </row>
    <row r="21" spans="1:21" ht="15">
      <c r="A21" t="s">
        <v>108</v>
      </c>
      <c r="C21">
        <f aca="true" t="shared" si="8" ref="C21:H21">C14*C17</f>
        <v>78.6788</v>
      </c>
      <c r="D21">
        <f t="shared" si="8"/>
        <v>71.0624</v>
      </c>
      <c r="E21">
        <f t="shared" si="8"/>
        <v>74.7228</v>
      </c>
      <c r="F21">
        <f t="shared" si="8"/>
        <v>57.08</v>
      </c>
      <c r="G21">
        <f t="shared" si="8"/>
        <v>85.467</v>
      </c>
      <c r="H21">
        <f t="shared" si="8"/>
        <v>66.27550000000001</v>
      </c>
      <c r="I21">
        <f>AVERAGE(C21:H21)</f>
        <v>72.21441666666666</v>
      </c>
      <c r="J21">
        <f>STDEV(C21:H21)/SQRT(6)</f>
        <v>4.038810242502678</v>
      </c>
      <c r="L21" t="s">
        <v>108</v>
      </c>
      <c r="N21">
        <f aca="true" t="shared" si="9" ref="N21:S21">N14*N17</f>
        <v>46.4458</v>
      </c>
      <c r="O21">
        <f t="shared" si="9"/>
        <v>45.3888</v>
      </c>
      <c r="P21">
        <f t="shared" si="9"/>
        <v>47.329</v>
      </c>
      <c r="Q21">
        <f t="shared" si="9"/>
        <v>49.539199999999994</v>
      </c>
      <c r="R21">
        <f t="shared" si="9"/>
        <v>46.3335</v>
      </c>
      <c r="S21">
        <f t="shared" si="9"/>
        <v>48.568</v>
      </c>
      <c r="T21">
        <f>AVERAGE(N21:S21)</f>
        <v>47.26738333333333</v>
      </c>
      <c r="U21">
        <f>STDEV(N21:S21)/SQRT(6)</f>
        <v>0.6306812160495795</v>
      </c>
    </row>
    <row r="22" spans="1:21" ht="15">
      <c r="A22" t="s">
        <v>1</v>
      </c>
      <c r="C22">
        <f aca="true" t="shared" si="10" ref="C22:H22">C14*C18</f>
        <v>290.1938</v>
      </c>
      <c r="D22">
        <f t="shared" si="10"/>
        <v>264.7032</v>
      </c>
      <c r="E22">
        <f t="shared" si="10"/>
        <v>270.5526</v>
      </c>
      <c r="F22">
        <f t="shared" si="10"/>
        <v>245.71999999999997</v>
      </c>
      <c r="G22">
        <f t="shared" si="10"/>
        <v>287.556</v>
      </c>
      <c r="H22">
        <f t="shared" si="10"/>
        <v>260.9105</v>
      </c>
      <c r="I22">
        <f>AVERAGE(C22:H22)</f>
        <v>269.93935</v>
      </c>
      <c r="J22">
        <f>STDEV(C22:H22)/SQRT(6)</f>
        <v>6.871388727069664</v>
      </c>
      <c r="L22" t="s">
        <v>1</v>
      </c>
      <c r="N22">
        <f aca="true" t="shared" si="11" ref="N22:S22">N14*N18</f>
        <v>159.904</v>
      </c>
      <c r="O22">
        <f t="shared" si="11"/>
        <v>159.5136</v>
      </c>
      <c r="P22">
        <f t="shared" si="11"/>
        <v>166.52599999999998</v>
      </c>
      <c r="Q22">
        <f t="shared" si="11"/>
        <v>168.6196</v>
      </c>
      <c r="R22">
        <f t="shared" si="11"/>
        <v>161.517</v>
      </c>
      <c r="S22">
        <f t="shared" si="11"/>
        <v>158.548</v>
      </c>
      <c r="T22">
        <f>AVERAGE(N22:S22)</f>
        <v>162.43803333333332</v>
      </c>
      <c r="U22">
        <f>STDEV(N22:S22)/SQRT(6)</f>
        <v>1.691917402567603</v>
      </c>
    </row>
    <row r="23" spans="18:19" ht="15">
      <c r="R23" s="11"/>
      <c r="S23" s="11"/>
    </row>
    <row r="24" spans="1:19" ht="15">
      <c r="A24" s="91" t="s">
        <v>110</v>
      </c>
      <c r="B24" s="91"/>
      <c r="L24" s="91" t="s">
        <v>110</v>
      </c>
      <c r="M24" s="91"/>
      <c r="R24" s="11"/>
      <c r="S24" s="11"/>
    </row>
    <row r="25" spans="18:19" ht="15">
      <c r="R25" s="11"/>
      <c r="S25" s="11"/>
    </row>
    <row r="26" spans="1:21" ht="15">
      <c r="A26" t="s">
        <v>111</v>
      </c>
      <c r="C26">
        <f aca="true" t="shared" si="12" ref="C26:H28">C20-C10</f>
        <v>19.873999999999995</v>
      </c>
      <c r="D26">
        <f t="shared" si="12"/>
        <v>16.315999999999995</v>
      </c>
      <c r="E26">
        <f t="shared" si="12"/>
        <v>21.4266</v>
      </c>
      <c r="F26">
        <f t="shared" si="12"/>
        <v>9.567999999999998</v>
      </c>
      <c r="G26">
        <f t="shared" si="12"/>
        <v>28.6785</v>
      </c>
      <c r="H26">
        <f t="shared" si="12"/>
        <v>16.460500000000003</v>
      </c>
      <c r="I26">
        <f>AVERAGE(C26:H26)</f>
        <v>18.7206</v>
      </c>
      <c r="J26">
        <f>STDEV(C26:H26)/SQRT(6)</f>
        <v>2.597901588461989</v>
      </c>
      <c r="L26" t="s">
        <v>111</v>
      </c>
      <c r="N26">
        <f aca="true" t="shared" si="13" ref="N26:S28">N20-N10</f>
        <v>4.583500000000001</v>
      </c>
      <c r="O26">
        <f t="shared" si="13"/>
        <v>-4.348799999999997</v>
      </c>
      <c r="P26">
        <f t="shared" si="13"/>
        <v>2.5105000000000075</v>
      </c>
      <c r="Q26">
        <f t="shared" si="13"/>
        <v>-2.4251999999999967</v>
      </c>
      <c r="R26">
        <f t="shared" si="13"/>
        <v>-5.824000000000005</v>
      </c>
      <c r="S26">
        <f t="shared" si="13"/>
        <v>1.2600000000000051</v>
      </c>
      <c r="T26">
        <f>AVERAGE(N26:S26)</f>
        <v>-0.7073333333333309</v>
      </c>
      <c r="U26">
        <f>STDEV(N26:S26)/SQRT(6)</f>
        <v>1.6793787771408553</v>
      </c>
    </row>
    <row r="27" spans="1:21" ht="15">
      <c r="A27" t="s">
        <v>112</v>
      </c>
      <c r="C27">
        <f t="shared" si="12"/>
        <v>3.990799999999993</v>
      </c>
      <c r="D27">
        <f t="shared" si="12"/>
        <v>2.9024</v>
      </c>
      <c r="E27">
        <f t="shared" si="12"/>
        <v>7.330800000000011</v>
      </c>
      <c r="F27">
        <f t="shared" si="12"/>
        <v>-7.432000000000002</v>
      </c>
      <c r="G27">
        <f t="shared" si="12"/>
        <v>16.730999999999995</v>
      </c>
      <c r="H27">
        <f t="shared" si="12"/>
        <v>2.147500000000008</v>
      </c>
      <c r="I27">
        <f>AVERAGE(C27:H27)</f>
        <v>4.278416666666668</v>
      </c>
      <c r="J27">
        <f>STDEV(C27:H27)/SQRT(6)</f>
        <v>3.204344370009427</v>
      </c>
      <c r="L27" t="s">
        <v>112</v>
      </c>
      <c r="N27">
        <f t="shared" si="13"/>
        <v>5.327800000000003</v>
      </c>
      <c r="O27">
        <f t="shared" si="13"/>
        <v>4.804800000000007</v>
      </c>
      <c r="P27">
        <f t="shared" si="13"/>
        <v>5.143000000000001</v>
      </c>
      <c r="Q27">
        <f t="shared" si="13"/>
        <v>5.573199999999993</v>
      </c>
      <c r="R27">
        <f t="shared" si="13"/>
        <v>6.105499999999999</v>
      </c>
      <c r="S27">
        <f t="shared" si="13"/>
        <v>7.628</v>
      </c>
      <c r="T27">
        <f>AVERAGE(N27:S27)</f>
        <v>5.763716666666667</v>
      </c>
      <c r="U27">
        <f>STDEV(N27:S27)/SQRT(6)</f>
        <v>0.41325934102503264</v>
      </c>
    </row>
    <row r="28" spans="1:21" ht="15">
      <c r="A28" t="s">
        <v>3</v>
      </c>
      <c r="C28">
        <f t="shared" si="12"/>
        <v>49.28610000000003</v>
      </c>
      <c r="D28">
        <f t="shared" si="12"/>
        <v>44.851699999999994</v>
      </c>
      <c r="E28">
        <f t="shared" si="12"/>
        <v>53.17830000000001</v>
      </c>
      <c r="F28">
        <f t="shared" si="12"/>
        <v>37.6352</v>
      </c>
      <c r="G28">
        <f t="shared" si="12"/>
        <v>65.8466</v>
      </c>
      <c r="H28">
        <f t="shared" si="12"/>
        <v>54.06430000000003</v>
      </c>
      <c r="I28">
        <f>AVERAGE(C28:H28)</f>
        <v>50.810366666666674</v>
      </c>
      <c r="J28">
        <f>STDEV(C28:H28)/SQRT(6)</f>
        <v>3.888862804099838</v>
      </c>
      <c r="L28" t="s">
        <v>3</v>
      </c>
      <c r="N28">
        <f t="shared" si="13"/>
        <v>19.987300000000005</v>
      </c>
      <c r="O28">
        <f t="shared" si="13"/>
        <v>21.413999999999987</v>
      </c>
      <c r="P28">
        <f t="shared" si="13"/>
        <v>22.97509999999997</v>
      </c>
      <c r="Q28">
        <f t="shared" si="13"/>
        <v>19.01169999999999</v>
      </c>
      <c r="R28">
        <f t="shared" si="13"/>
        <v>24.628799999999984</v>
      </c>
      <c r="S28">
        <f t="shared" si="13"/>
        <v>19.236999999999995</v>
      </c>
      <c r="T28">
        <f>AVERAGE(N28:S28)</f>
        <v>21.20898333333332</v>
      </c>
      <c r="U28">
        <f>STDEV(N28:S28)/SQRT(6)</f>
        <v>0.9140683495292381</v>
      </c>
    </row>
    <row r="30" spans="1:21" ht="15">
      <c r="A30" t="s">
        <v>197</v>
      </c>
      <c r="C30">
        <f aca="true" t="shared" si="14" ref="C30:H30">SUM(C26:C28)</f>
        <v>73.15090000000002</v>
      </c>
      <c r="D30">
        <f t="shared" si="14"/>
        <v>64.0701</v>
      </c>
      <c r="E30">
        <f t="shared" si="14"/>
        <v>81.93570000000003</v>
      </c>
      <c r="F30">
        <f t="shared" si="14"/>
        <v>39.77119999999999</v>
      </c>
      <c r="G30">
        <f t="shared" si="14"/>
        <v>111.25609999999999</v>
      </c>
      <c r="H30">
        <f t="shared" si="14"/>
        <v>72.67230000000004</v>
      </c>
      <c r="I30">
        <f>AVERAGE(C30:H30)</f>
        <v>73.80938333333334</v>
      </c>
      <c r="J30">
        <f>STDEV(C30:H30)/SQRT(6)</f>
        <v>9.527979385242768</v>
      </c>
      <c r="L30" t="s">
        <v>197</v>
      </c>
      <c r="N30">
        <f aca="true" t="shared" si="15" ref="N30:S30">SUM(N26:N28)</f>
        <v>29.89860000000001</v>
      </c>
      <c r="O30">
        <f t="shared" si="15"/>
        <v>21.869999999999997</v>
      </c>
      <c r="P30">
        <f t="shared" si="15"/>
        <v>30.628599999999977</v>
      </c>
      <c r="Q30">
        <f t="shared" si="15"/>
        <v>22.159699999999987</v>
      </c>
      <c r="R30">
        <f t="shared" si="15"/>
        <v>24.910299999999978</v>
      </c>
      <c r="S30">
        <f t="shared" si="15"/>
        <v>28.125</v>
      </c>
      <c r="T30">
        <f>AVERAGE(N30:S30)</f>
        <v>26.265366666666655</v>
      </c>
      <c r="U30">
        <f>STDEV(N30:S30)/SQRT(6)</f>
        <v>1.567464813994604</v>
      </c>
    </row>
    <row r="31" spans="18:19" ht="15">
      <c r="R31" s="11"/>
      <c r="S31" s="11"/>
    </row>
    <row r="32" spans="1:19" ht="15">
      <c r="A32" s="1" t="s">
        <v>113</v>
      </c>
      <c r="L32" s="1" t="s">
        <v>113</v>
      </c>
      <c r="R32" s="11"/>
      <c r="S32" s="11"/>
    </row>
    <row r="33" spans="18:19" ht="15">
      <c r="R33" s="11"/>
      <c r="S33" s="11"/>
    </row>
    <row r="34" spans="1:21" ht="15">
      <c r="A34" t="s">
        <v>111</v>
      </c>
      <c r="C34">
        <v>78.72369230769232</v>
      </c>
      <c r="D34">
        <v>78.72369230769232</v>
      </c>
      <c r="E34">
        <v>74.91158974358974</v>
      </c>
      <c r="F34">
        <v>74.91158974358974</v>
      </c>
      <c r="G34">
        <v>85.15897435897435</v>
      </c>
      <c r="H34">
        <v>85.15897435897435</v>
      </c>
      <c r="I34">
        <f>AVERAGE(C34:H34)</f>
        <v>79.59808547008545</v>
      </c>
      <c r="J34">
        <f>STDEV(C34:H34)/SQRT(6)</f>
        <v>1.891230478312473</v>
      </c>
      <c r="L34" t="s">
        <v>111</v>
      </c>
      <c r="N34">
        <v>53.784615384615385</v>
      </c>
      <c r="O34">
        <v>53.784615384615385</v>
      </c>
      <c r="P34">
        <v>58.5025641025641</v>
      </c>
      <c r="Q34">
        <v>58.5025641025641</v>
      </c>
      <c r="R34" s="11">
        <v>56.08697435897435</v>
      </c>
      <c r="S34" s="11">
        <v>56.08697435897435</v>
      </c>
      <c r="T34">
        <f>AVERAGE(N34:S34)</f>
        <v>56.12471794871795</v>
      </c>
      <c r="U34">
        <f>STDEV(N34:S34)/SQRT(6)</f>
        <v>0.8614583340842074</v>
      </c>
    </row>
    <row r="35" spans="1:21" ht="15">
      <c r="A35" t="s">
        <v>112</v>
      </c>
      <c r="C35">
        <v>71.16088235294117</v>
      </c>
      <c r="D35">
        <v>71.16088235294117</v>
      </c>
      <c r="E35">
        <v>67.715</v>
      </c>
      <c r="F35">
        <v>67.715</v>
      </c>
      <c r="G35">
        <v>76.9779411764706</v>
      </c>
      <c r="H35">
        <v>76.9779411764706</v>
      </c>
      <c r="I35">
        <f>AVERAGE(C35:H35)</f>
        <v>71.95127450980392</v>
      </c>
      <c r="J35">
        <f>STDEV(C35:H35)/SQRT(6)</f>
        <v>1.7095441743697337</v>
      </c>
      <c r="L35" t="s">
        <v>112</v>
      </c>
      <c r="N35">
        <v>48.61764705882352</v>
      </c>
      <c r="O35">
        <v>48.61764705882352</v>
      </c>
      <c r="P35">
        <v>52.882352941176464</v>
      </c>
      <c r="Q35">
        <v>52.882352941176464</v>
      </c>
      <c r="R35" s="11">
        <v>50.69882352941176</v>
      </c>
      <c r="S35" s="11">
        <v>50.69882352941176</v>
      </c>
      <c r="T35">
        <f>AVERAGE(N35:S35)</f>
        <v>50.73294117647058</v>
      </c>
      <c r="U35">
        <f>STDEV(N35:S35)/SQRT(6)</f>
        <v>0.7786999487286118</v>
      </c>
    </row>
    <row r="36" spans="18:19" ht="15">
      <c r="R36" s="11"/>
      <c r="S36" s="11"/>
    </row>
    <row r="37" spans="1:19" ht="15">
      <c r="A37" s="91" t="s">
        <v>114</v>
      </c>
      <c r="B37" s="91"/>
      <c r="L37" s="91" t="s">
        <v>114</v>
      </c>
      <c r="M37" s="91"/>
      <c r="R37" s="11"/>
      <c r="S37" s="11"/>
    </row>
    <row r="38" spans="18:19" ht="15">
      <c r="R38" s="11"/>
      <c r="S38" s="11"/>
    </row>
    <row r="39" spans="1:21" ht="15">
      <c r="A39" t="s">
        <v>111</v>
      </c>
      <c r="C39">
        <f aca="true" t="shared" si="16" ref="C39:H40">C26*100/C34</f>
        <v>25.24525897784656</v>
      </c>
      <c r="D39">
        <f t="shared" si="16"/>
        <v>20.72565389365726</v>
      </c>
      <c r="E39">
        <f t="shared" si="16"/>
        <v>28.602516744524827</v>
      </c>
      <c r="F39">
        <f t="shared" si="16"/>
        <v>12.772389469706509</v>
      </c>
      <c r="G39">
        <f t="shared" si="16"/>
        <v>33.67642719498976</v>
      </c>
      <c r="H39">
        <f t="shared" si="16"/>
        <v>19.32914308081417</v>
      </c>
      <c r="I39">
        <f>AVERAGE(C39:H39)</f>
        <v>23.39189822692318</v>
      </c>
      <c r="J39">
        <f>STDEV(C39:H39)/SQRT(6)</f>
        <v>3.015216034109593</v>
      </c>
      <c r="L39" t="s">
        <v>111</v>
      </c>
      <c r="N39">
        <f aca="true" t="shared" si="17" ref="N39:S40">N26*100/N34</f>
        <v>8.521953661327233</v>
      </c>
      <c r="O39">
        <f t="shared" si="17"/>
        <v>-8.085583524027454</v>
      </c>
      <c r="P39">
        <f t="shared" si="17"/>
        <v>4.291264901823295</v>
      </c>
      <c r="Q39">
        <f t="shared" si="17"/>
        <v>-4.145459326788213</v>
      </c>
      <c r="R39">
        <f t="shared" si="17"/>
        <v>-10.383872666627667</v>
      </c>
      <c r="S39">
        <f t="shared" si="17"/>
        <v>2.246510913453108</v>
      </c>
      <c r="T39">
        <f>AVERAGE(N39:S39)</f>
        <v>-1.259197673473283</v>
      </c>
      <c r="U39">
        <f>STDEV(N39:S39)/SQRT(6)</f>
        <v>3.0384112776977528</v>
      </c>
    </row>
    <row r="40" spans="1:21" ht="15">
      <c r="A40" t="s">
        <v>112</v>
      </c>
      <c r="C40">
        <f t="shared" si="16"/>
        <v>5.6081373193302575</v>
      </c>
      <c r="D40">
        <f t="shared" si="16"/>
        <v>4.078645323149285</v>
      </c>
      <c r="E40">
        <f t="shared" si="16"/>
        <v>10.825961751458333</v>
      </c>
      <c r="F40">
        <f t="shared" si="16"/>
        <v>-10.97541165177583</v>
      </c>
      <c r="G40">
        <f t="shared" si="16"/>
        <v>21.734797974973723</v>
      </c>
      <c r="H40">
        <f t="shared" si="16"/>
        <v>2.789760244531484</v>
      </c>
      <c r="I40">
        <f>AVERAGE(C40:H40)</f>
        <v>5.676981826944542</v>
      </c>
      <c r="J40">
        <f>STDEV(C40:H40)/SQRT(6)</f>
        <v>4.36868832293564</v>
      </c>
      <c r="L40" t="s">
        <v>112</v>
      </c>
      <c r="N40">
        <f t="shared" si="17"/>
        <v>10.958572292800977</v>
      </c>
      <c r="O40">
        <f t="shared" si="17"/>
        <v>9.882831215970977</v>
      </c>
      <c r="P40">
        <f t="shared" si="17"/>
        <v>9.725361512791993</v>
      </c>
      <c r="Q40">
        <f t="shared" si="17"/>
        <v>10.53886540600666</v>
      </c>
      <c r="R40">
        <f t="shared" si="17"/>
        <v>12.042685756717873</v>
      </c>
      <c r="S40">
        <f t="shared" si="17"/>
        <v>15.045714020513296</v>
      </c>
      <c r="T40">
        <f>AVERAGE(N40:S40)</f>
        <v>11.365671700800297</v>
      </c>
      <c r="U40">
        <f>STDEV(N40:S40)/SQRT(6)</f>
        <v>0.8111685295552548</v>
      </c>
    </row>
    <row r="45" spans="1:12" ht="15">
      <c r="A45" s="1" t="s">
        <v>115</v>
      </c>
      <c r="L45" s="1" t="s">
        <v>115</v>
      </c>
    </row>
    <row r="47" spans="1:21" ht="15">
      <c r="A47" t="s">
        <v>116</v>
      </c>
      <c r="C47">
        <f aca="true" t="shared" si="18" ref="C47:H47">C4-C4*C6</f>
        <v>337.652</v>
      </c>
      <c r="D47">
        <f t="shared" si="18"/>
        <v>308.14</v>
      </c>
      <c r="E47">
        <f t="shared" si="18"/>
        <v>304.668</v>
      </c>
      <c r="F47">
        <f t="shared" si="18"/>
        <v>291.648</v>
      </c>
      <c r="G47">
        <f t="shared" si="18"/>
        <v>310.744</v>
      </c>
      <c r="H47">
        <f t="shared" si="18"/>
        <v>289.912</v>
      </c>
      <c r="I47">
        <f>AVERAGE(C47:H47)</f>
        <v>307.1273333333333</v>
      </c>
      <c r="J47">
        <f>STDEV(C47:H47)/SQRT(6)</f>
        <v>7.042458920323528</v>
      </c>
      <c r="L47" t="s">
        <v>116</v>
      </c>
      <c r="N47">
        <f aca="true" t="shared" si="19" ref="N47:S47">N4-N4*N6</f>
        <v>191.268</v>
      </c>
      <c r="O47">
        <f t="shared" si="19"/>
        <v>188.784</v>
      </c>
      <c r="P47">
        <f t="shared" si="19"/>
        <v>196.236</v>
      </c>
      <c r="Q47">
        <f t="shared" si="19"/>
        <v>204.51600000000002</v>
      </c>
      <c r="R47" s="46">
        <f t="shared" si="19"/>
        <v>187.128</v>
      </c>
      <c r="S47">
        <f t="shared" si="19"/>
        <v>190.44</v>
      </c>
      <c r="T47">
        <f>AVERAGE(N47:S47)</f>
        <v>193.062</v>
      </c>
      <c r="U47">
        <f>STDEV(N47:S47)/SQRT(6)</f>
        <v>2.6132696760954506</v>
      </c>
    </row>
    <row r="48" spans="1:21" ht="15">
      <c r="A48" t="s">
        <v>117</v>
      </c>
      <c r="C48">
        <f aca="true" t="shared" si="20" ref="C48:H48">C14-C14*C16</f>
        <v>406.778</v>
      </c>
      <c r="D48">
        <f t="shared" si="20"/>
        <v>360.824</v>
      </c>
      <c r="E48">
        <f t="shared" si="20"/>
        <v>370.2414</v>
      </c>
      <c r="F48">
        <f t="shared" si="20"/>
        <v>346.08</v>
      </c>
      <c r="G48">
        <f t="shared" si="20"/>
        <v>389.0655</v>
      </c>
      <c r="H48">
        <f t="shared" si="20"/>
        <v>354.4515</v>
      </c>
      <c r="I48">
        <f>AVERAGE(C48:H48)</f>
        <v>371.2400666666667</v>
      </c>
      <c r="J48">
        <f>STDEV(C48:H48)/SQRT(6)</f>
        <v>9.318561198728295</v>
      </c>
      <c r="L48" t="s">
        <v>117</v>
      </c>
      <c r="N48">
        <f aca="true" t="shared" si="21" ref="N48:S48">N14-N14*N16</f>
        <v>218.6845</v>
      </c>
      <c r="O48">
        <f t="shared" si="21"/>
        <v>221.1328</v>
      </c>
      <c r="P48">
        <f t="shared" si="21"/>
        <v>221.7255</v>
      </c>
      <c r="Q48">
        <f t="shared" si="21"/>
        <v>233.9412</v>
      </c>
      <c r="R48" s="46">
        <f t="shared" si="21"/>
        <v>221.952</v>
      </c>
      <c r="S48">
        <f t="shared" si="21"/>
        <v>219.18</v>
      </c>
      <c r="T48">
        <f>AVERAGE(N48:S48)</f>
        <v>222.76933333333338</v>
      </c>
      <c r="U48">
        <f>STDEV(N48:S48)/SQRT(6)</f>
        <v>2.300837855458553</v>
      </c>
    </row>
    <row r="49" ht="15">
      <c r="R49" s="46"/>
    </row>
    <row r="50" spans="1:21" ht="15">
      <c r="A50" t="s">
        <v>118</v>
      </c>
      <c r="C50">
        <f aca="true" t="shared" si="22" ref="C50:H50">C48-C47</f>
        <v>69.12600000000003</v>
      </c>
      <c r="D50">
        <f t="shared" si="22"/>
        <v>52.684000000000026</v>
      </c>
      <c r="E50">
        <f t="shared" si="22"/>
        <v>65.57339999999999</v>
      </c>
      <c r="F50">
        <f t="shared" si="22"/>
        <v>54.43199999999996</v>
      </c>
      <c r="G50">
        <f t="shared" si="22"/>
        <v>78.32149999999996</v>
      </c>
      <c r="H50">
        <f t="shared" si="22"/>
        <v>64.53950000000003</v>
      </c>
      <c r="I50">
        <f>AVERAGE(C50:H50)</f>
        <v>64.11273333333334</v>
      </c>
      <c r="J50">
        <f>STDEV(C50:H50)/SQRT(6)</f>
        <v>3.8887449270654977</v>
      </c>
      <c r="L50" t="s">
        <v>118</v>
      </c>
      <c r="N50">
        <f aca="true" t="shared" si="23" ref="N50:S50">N48-N47</f>
        <v>27.416500000000013</v>
      </c>
      <c r="O50">
        <f t="shared" si="23"/>
        <v>32.34880000000001</v>
      </c>
      <c r="P50">
        <f t="shared" si="23"/>
        <v>25.48950000000002</v>
      </c>
      <c r="Q50">
        <f t="shared" si="23"/>
        <v>29.42519999999999</v>
      </c>
      <c r="R50" s="46">
        <f t="shared" si="23"/>
        <v>34.82400000000001</v>
      </c>
      <c r="S50">
        <f t="shared" si="23"/>
        <v>28.74000000000001</v>
      </c>
      <c r="T50">
        <f>AVERAGE(N50:S50)</f>
        <v>29.70733333333334</v>
      </c>
      <c r="U50">
        <f>STDEV(N50:S50)/SQRT(6)</f>
        <v>1.3809536839123535</v>
      </c>
    </row>
    <row r="51" ht="15">
      <c r="R51" s="46"/>
    </row>
    <row r="52" spans="1:21" ht="15">
      <c r="A52" s="92" t="s">
        <v>119</v>
      </c>
      <c r="B52" s="92"/>
      <c r="C52">
        <f aca="true" t="shared" si="24" ref="C52:H52">C35/C50</f>
        <v>1.029437293535589</v>
      </c>
      <c r="D52">
        <f t="shared" si="24"/>
        <v>1.3507114560956104</v>
      </c>
      <c r="E52">
        <f t="shared" si="24"/>
        <v>1.0326595845266529</v>
      </c>
      <c r="F52">
        <f t="shared" si="24"/>
        <v>1.2440292475014707</v>
      </c>
      <c r="G52">
        <f t="shared" si="24"/>
        <v>0.9828455938212449</v>
      </c>
      <c r="H52">
        <f t="shared" si="24"/>
        <v>1.1927260232333774</v>
      </c>
      <c r="I52">
        <f>AVERAGE(C52:H52)</f>
        <v>1.1387348664523242</v>
      </c>
      <c r="J52">
        <f>STDEV(C52:H52)/SQRT(6)</f>
        <v>0.0595638079290953</v>
      </c>
      <c r="L52" s="92" t="s">
        <v>119</v>
      </c>
      <c r="M52" s="92"/>
      <c r="N52">
        <f aca="true" t="shared" si="25" ref="N52:S52">N35/N50</f>
        <v>1.7732988185517298</v>
      </c>
      <c r="O52">
        <f t="shared" si="25"/>
        <v>1.5029196464420165</v>
      </c>
      <c r="P52">
        <f t="shared" si="25"/>
        <v>2.0746720391210665</v>
      </c>
      <c r="Q52">
        <f t="shared" si="25"/>
        <v>1.7971790486105952</v>
      </c>
      <c r="R52" s="46">
        <f t="shared" si="25"/>
        <v>1.4558587046120992</v>
      </c>
      <c r="S52">
        <f t="shared" si="25"/>
        <v>1.7640509230832202</v>
      </c>
      <c r="T52">
        <f>AVERAGE(N52:S52)</f>
        <v>1.7279965300701212</v>
      </c>
      <c r="U52">
        <f>STDEV(N52:S52)/SQRT(6)</f>
        <v>0.09184061295405735</v>
      </c>
    </row>
    <row r="54" spans="1:21" ht="15">
      <c r="A54" t="s">
        <v>120</v>
      </c>
      <c r="C54">
        <f aca="true" t="shared" si="26" ref="C54:H54">C50*100/(C14-C4)</f>
        <v>77.66966292134835</v>
      </c>
      <c r="D54">
        <f t="shared" si="26"/>
        <v>76.35362318840583</v>
      </c>
      <c r="E54">
        <f t="shared" si="26"/>
        <v>75.37172413793103</v>
      </c>
      <c r="F54">
        <f t="shared" si="26"/>
        <v>85.04999999999994</v>
      </c>
      <c r="G54">
        <f t="shared" si="26"/>
        <v>73.19766355140183</v>
      </c>
      <c r="H54">
        <f t="shared" si="26"/>
        <v>79.67839506172844</v>
      </c>
      <c r="I54">
        <f>AVERAGE(C54:H54)</f>
        <v>77.88684481013591</v>
      </c>
      <c r="J54">
        <f>STDEV(C54:H54)/SQRT(6)</f>
        <v>1.6855526686642028</v>
      </c>
      <c r="L54" t="s">
        <v>120</v>
      </c>
      <c r="N54">
        <f aca="true" t="shared" si="27" ref="N54:S54">N50*100/(N14-N4)</f>
        <v>85.67656250000005</v>
      </c>
      <c r="O54">
        <f t="shared" si="27"/>
        <v>115.5314285714286</v>
      </c>
      <c r="P54">
        <f t="shared" si="27"/>
        <v>91.03392857142865</v>
      </c>
      <c r="Q54">
        <f t="shared" si="27"/>
        <v>108.98222222222219</v>
      </c>
      <c r="R54">
        <f t="shared" si="27"/>
        <v>120.0827586206897</v>
      </c>
      <c r="S54">
        <f t="shared" si="27"/>
        <v>95.80000000000003</v>
      </c>
      <c r="T54">
        <f>AVERAGE(N54:S54)</f>
        <v>102.85115008096153</v>
      </c>
      <c r="U54">
        <f>STDEV(N54:S54)/SQRT(6)</f>
        <v>5.714425434253524</v>
      </c>
    </row>
  </sheetData>
  <sheetProtection/>
  <mergeCells count="6">
    <mergeCell ref="A24:B24"/>
    <mergeCell ref="L24:M24"/>
    <mergeCell ref="A37:B37"/>
    <mergeCell ref="L37:M37"/>
    <mergeCell ref="A52:B52"/>
    <mergeCell ref="L52:M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20" sqref="F20"/>
    </sheetView>
  </sheetViews>
  <sheetFormatPr defaultColWidth="11.421875" defaultRowHeight="15"/>
  <cols>
    <col min="1" max="1" width="21.7109375" style="0" customWidth="1"/>
    <col min="2" max="3" width="12.28125" style="0" customWidth="1"/>
    <col min="7" max="7" width="16.00390625" style="0" customWidth="1"/>
  </cols>
  <sheetData>
    <row r="1" ht="15">
      <c r="A1" s="1" t="s">
        <v>33</v>
      </c>
    </row>
    <row r="3" spans="1:6" ht="15">
      <c r="A3" s="2" t="s">
        <v>44</v>
      </c>
      <c r="B3" s="3" t="s">
        <v>42</v>
      </c>
      <c r="C3" s="3" t="s">
        <v>43</v>
      </c>
      <c r="D3" s="3"/>
      <c r="E3" s="3"/>
      <c r="F3" s="3"/>
    </row>
    <row r="4" spans="1:7" ht="15">
      <c r="A4" s="4"/>
      <c r="B4" s="3" t="s">
        <v>18</v>
      </c>
      <c r="C4" s="3" t="s">
        <v>24</v>
      </c>
      <c r="D4" s="3" t="s">
        <v>25</v>
      </c>
      <c r="E4" s="3" t="s">
        <v>26</v>
      </c>
      <c r="F4" s="3" t="s">
        <v>31</v>
      </c>
      <c r="G4" s="5" t="s">
        <v>64</v>
      </c>
    </row>
    <row r="5" spans="1:6" ht="15">
      <c r="A5" s="2" t="s">
        <v>59</v>
      </c>
      <c r="B5" s="3">
        <v>336</v>
      </c>
      <c r="C5" s="3">
        <v>322</v>
      </c>
      <c r="D5" s="3"/>
      <c r="E5" s="3"/>
      <c r="F5" s="3"/>
    </row>
    <row r="6" spans="1:7" ht="15">
      <c r="A6" s="2" t="s">
        <v>37</v>
      </c>
      <c r="B6" s="4">
        <v>351</v>
      </c>
      <c r="C6" s="4">
        <v>336</v>
      </c>
      <c r="D6" s="4">
        <v>123.55</v>
      </c>
      <c r="E6" s="4">
        <v>43.4</v>
      </c>
      <c r="F6" s="4">
        <f aca="true" t="shared" si="0" ref="F6:F16">D6-E6</f>
        <v>80.15</v>
      </c>
      <c r="G6">
        <f>F6/2/2</f>
        <v>20.0375</v>
      </c>
    </row>
    <row r="7" spans="1:7" ht="15">
      <c r="A7" s="2" t="s">
        <v>9</v>
      </c>
      <c r="B7" s="4">
        <v>356</v>
      </c>
      <c r="C7" s="4">
        <v>340</v>
      </c>
      <c r="D7" s="4">
        <v>109.42</v>
      </c>
      <c r="E7" s="4">
        <v>31.09</v>
      </c>
      <c r="F7" s="4">
        <f t="shared" si="0"/>
        <v>78.33</v>
      </c>
      <c r="G7">
        <f>F7/2/2</f>
        <v>19.5825</v>
      </c>
    </row>
    <row r="8" spans="1:7" ht="15">
      <c r="A8" s="2" t="s">
        <v>38</v>
      </c>
      <c r="B8" s="4">
        <v>359</v>
      </c>
      <c r="C8" s="4">
        <v>345</v>
      </c>
      <c r="D8" s="4">
        <v>124.41</v>
      </c>
      <c r="E8" s="4">
        <v>6.51</v>
      </c>
      <c r="F8" s="4">
        <f t="shared" si="0"/>
        <v>117.89999999999999</v>
      </c>
      <c r="G8">
        <f>F8/2/3</f>
        <v>19.65</v>
      </c>
    </row>
    <row r="9" spans="1:7" ht="15">
      <c r="A9" s="2" t="s">
        <v>19</v>
      </c>
      <c r="B9" s="4">
        <v>372</v>
      </c>
      <c r="C9" s="4">
        <v>347</v>
      </c>
      <c r="D9" s="4">
        <v>105.72</v>
      </c>
      <c r="E9" s="4">
        <v>24.33</v>
      </c>
      <c r="F9" s="4">
        <f t="shared" si="0"/>
        <v>81.39</v>
      </c>
      <c r="G9">
        <f>F9/2/2</f>
        <v>20.3475</v>
      </c>
    </row>
    <row r="10" spans="1:7" ht="15">
      <c r="A10" s="2" t="s">
        <v>20</v>
      </c>
      <c r="B10" s="4">
        <v>378</v>
      </c>
      <c r="C10" s="4">
        <v>351</v>
      </c>
      <c r="D10" s="4">
        <v>97.48</v>
      </c>
      <c r="E10" s="4">
        <v>21.69</v>
      </c>
      <c r="F10" s="4">
        <f t="shared" si="0"/>
        <v>75.79</v>
      </c>
      <c r="G10">
        <f>F10/2/2</f>
        <v>18.9475</v>
      </c>
    </row>
    <row r="11" spans="1:7" ht="15">
      <c r="A11" s="2" t="s">
        <v>39</v>
      </c>
      <c r="B11" s="4">
        <v>385</v>
      </c>
      <c r="C11" s="4">
        <v>355</v>
      </c>
      <c r="D11" s="4">
        <v>120.78</v>
      </c>
      <c r="E11" s="4">
        <v>6.83</v>
      </c>
      <c r="F11" s="4">
        <f t="shared" si="0"/>
        <v>113.95</v>
      </c>
      <c r="G11">
        <f>F11/2/3</f>
        <v>18.991666666666667</v>
      </c>
    </row>
    <row r="12" spans="1:7" ht="15">
      <c r="A12" s="2" t="s">
        <v>21</v>
      </c>
      <c r="B12" s="4">
        <v>396</v>
      </c>
      <c r="C12" s="4">
        <v>360</v>
      </c>
      <c r="D12" s="4">
        <v>215.21</v>
      </c>
      <c r="E12" s="4">
        <v>59.32</v>
      </c>
      <c r="F12" s="4">
        <f t="shared" si="0"/>
        <v>155.89000000000001</v>
      </c>
      <c r="G12">
        <f>F12/2/4</f>
        <v>19.486250000000002</v>
      </c>
    </row>
    <row r="13" spans="1:7" ht="15">
      <c r="A13" s="2" t="s">
        <v>40</v>
      </c>
      <c r="B13" s="4">
        <v>410</v>
      </c>
      <c r="C13" s="4">
        <v>376</v>
      </c>
      <c r="D13" s="4">
        <v>140.5</v>
      </c>
      <c r="E13" s="4">
        <v>21.7</v>
      </c>
      <c r="F13" s="4">
        <f t="shared" si="0"/>
        <v>118.8</v>
      </c>
      <c r="G13">
        <f>F13/2/3</f>
        <v>19.8</v>
      </c>
    </row>
    <row r="14" spans="1:7" ht="15">
      <c r="A14" s="2" t="s">
        <v>22</v>
      </c>
      <c r="B14" s="4">
        <v>420</v>
      </c>
      <c r="C14" s="4">
        <v>386</v>
      </c>
      <c r="D14" s="4">
        <v>141.91</v>
      </c>
      <c r="E14" s="4">
        <v>29.55</v>
      </c>
      <c r="F14" s="4">
        <f t="shared" si="0"/>
        <v>112.36</v>
      </c>
      <c r="G14">
        <f>F14/2/3</f>
        <v>18.726666666666667</v>
      </c>
    </row>
    <row r="15" spans="1:7" ht="15">
      <c r="A15" s="2" t="s">
        <v>30</v>
      </c>
      <c r="B15" s="4">
        <v>425</v>
      </c>
      <c r="C15" s="4">
        <v>388</v>
      </c>
      <c r="D15" s="4">
        <v>87.8</v>
      </c>
      <c r="E15" s="4">
        <v>41</v>
      </c>
      <c r="F15" s="4">
        <f t="shared" si="0"/>
        <v>46.8</v>
      </c>
      <c r="G15">
        <f>F15/2</f>
        <v>23.4</v>
      </c>
    </row>
    <row r="16" spans="1:7" ht="15">
      <c r="A16" s="2" t="s">
        <v>41</v>
      </c>
      <c r="B16" s="4">
        <v>429</v>
      </c>
      <c r="C16" s="4">
        <v>392</v>
      </c>
      <c r="D16" s="4">
        <v>221.24</v>
      </c>
      <c r="E16" s="4">
        <v>77.16</v>
      </c>
      <c r="F16" s="4">
        <f t="shared" si="0"/>
        <v>144.08</v>
      </c>
      <c r="G16">
        <f>F16/2/4</f>
        <v>18.01</v>
      </c>
    </row>
    <row r="17" spans="1:6" ht="15">
      <c r="A17" s="2" t="s">
        <v>32</v>
      </c>
      <c r="B17" s="4">
        <v>438</v>
      </c>
      <c r="C17" s="4">
        <v>400</v>
      </c>
      <c r="D17" s="4"/>
      <c r="E17" s="4"/>
      <c r="F17" s="4"/>
    </row>
    <row r="18" spans="1:6" ht="15">
      <c r="A18" s="2"/>
      <c r="B18" s="4"/>
      <c r="C18" s="4"/>
      <c r="D18" s="4"/>
      <c r="E18" s="4"/>
      <c r="F18" s="4"/>
    </row>
    <row r="19" spans="1:8" ht="15">
      <c r="A19" s="2"/>
      <c r="B19" s="4"/>
      <c r="C19" s="4"/>
      <c r="D19" s="4"/>
      <c r="E19" s="4"/>
      <c r="F19" s="4">
        <f>SUM(F6:F18)</f>
        <v>1125.4399999999998</v>
      </c>
      <c r="G19" s="7" t="s">
        <v>90</v>
      </c>
      <c r="H19">
        <f>F19*14.11/2</f>
        <v>7939.979199999999</v>
      </c>
    </row>
    <row r="20" spans="1:6" ht="15">
      <c r="A20" s="2"/>
      <c r="B20" s="4"/>
      <c r="C20" s="4"/>
      <c r="D20" s="4"/>
      <c r="E20" s="29" t="s">
        <v>201</v>
      </c>
      <c r="F20" s="29">
        <f>F19/2</f>
        <v>562.7199999999999</v>
      </c>
    </row>
    <row r="21" ht="15">
      <c r="B21" t="s">
        <v>27</v>
      </c>
    </row>
    <row r="22" ht="15">
      <c r="B22" t="s">
        <v>28</v>
      </c>
    </row>
    <row r="23" ht="15">
      <c r="B23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F28" sqref="F28"/>
    </sheetView>
  </sheetViews>
  <sheetFormatPr defaultColWidth="11.421875" defaultRowHeight="15"/>
  <cols>
    <col min="1" max="1" width="20.7109375" style="0" customWidth="1"/>
    <col min="2" max="2" width="11.8515625" style="0" customWidth="1"/>
    <col min="3" max="3" width="11.421875" style="0" customWidth="1"/>
    <col min="7" max="7" width="15.7109375" style="0" customWidth="1"/>
  </cols>
  <sheetData>
    <row r="1" ht="15">
      <c r="A1" s="1" t="s">
        <v>33</v>
      </c>
    </row>
    <row r="3" spans="1:6" ht="15">
      <c r="A3" s="2" t="s">
        <v>58</v>
      </c>
      <c r="B3" s="3" t="s">
        <v>45</v>
      </c>
      <c r="C3" s="3" t="s">
        <v>46</v>
      </c>
      <c r="D3" s="3"/>
      <c r="E3" s="3"/>
      <c r="F3" s="3"/>
    </row>
    <row r="4" spans="1:16" ht="15">
      <c r="A4" s="4"/>
      <c r="B4" s="3" t="s">
        <v>18</v>
      </c>
      <c r="C4" s="3" t="s">
        <v>24</v>
      </c>
      <c r="D4" s="3" t="s">
        <v>25</v>
      </c>
      <c r="E4" s="3" t="s">
        <v>26</v>
      </c>
      <c r="F4" s="3" t="s">
        <v>31</v>
      </c>
      <c r="G4" s="5" t="s">
        <v>63</v>
      </c>
      <c r="I4">
        <v>1</v>
      </c>
      <c r="J4">
        <v>2</v>
      </c>
      <c r="K4">
        <v>3</v>
      </c>
      <c r="L4">
        <v>4</v>
      </c>
      <c r="M4">
        <v>5</v>
      </c>
      <c r="N4">
        <v>6</v>
      </c>
      <c r="O4" t="s">
        <v>61</v>
      </c>
      <c r="P4" t="s">
        <v>62</v>
      </c>
    </row>
    <row r="5" spans="1:6" ht="15">
      <c r="A5" s="2" t="s">
        <v>60</v>
      </c>
      <c r="B5" s="3">
        <v>341</v>
      </c>
      <c r="C5" s="3">
        <v>310</v>
      </c>
      <c r="D5" s="3"/>
      <c r="E5" s="3"/>
      <c r="F5" s="3"/>
    </row>
    <row r="6" spans="1:17" ht="15">
      <c r="A6" s="2" t="s">
        <v>37</v>
      </c>
      <c r="B6" s="4">
        <v>358</v>
      </c>
      <c r="C6" s="4">
        <v>334</v>
      </c>
      <c r="D6" s="4">
        <v>125.28</v>
      </c>
      <c r="E6" s="4">
        <v>33.33</v>
      </c>
      <c r="F6" s="4">
        <f aca="true" t="shared" si="0" ref="F6:F16">D6-E6</f>
        <v>91.95</v>
      </c>
      <c r="G6">
        <f>F6/2/2</f>
        <v>22.9875</v>
      </c>
      <c r="I6" s="4">
        <v>389</v>
      </c>
      <c r="J6" s="4">
        <v>355</v>
      </c>
      <c r="K6" s="4">
        <v>351</v>
      </c>
      <c r="L6" s="4">
        <v>336</v>
      </c>
      <c r="M6" s="4">
        <v>358</v>
      </c>
      <c r="N6" s="4">
        <v>334</v>
      </c>
      <c r="O6">
        <f aca="true" t="shared" si="1" ref="O6:O17">AVERAGE(I6:N6)</f>
        <v>353.8333333333333</v>
      </c>
      <c r="P6">
        <f aca="true" t="shared" si="2" ref="P6:P17">STDEV(I6:N6)/SQRT(6)</f>
        <v>8.113431935856601</v>
      </c>
      <c r="Q6">
        <v>1</v>
      </c>
    </row>
    <row r="7" spans="1:17" ht="15">
      <c r="A7" s="2" t="s">
        <v>9</v>
      </c>
      <c r="B7" s="4">
        <v>368</v>
      </c>
      <c r="C7" s="4">
        <v>344</v>
      </c>
      <c r="D7" s="4">
        <v>125.22</v>
      </c>
      <c r="E7" s="4">
        <v>38.73</v>
      </c>
      <c r="F7" s="4">
        <f t="shared" si="0"/>
        <v>86.49000000000001</v>
      </c>
      <c r="G7">
        <f>F7/2/2</f>
        <v>21.622500000000002</v>
      </c>
      <c r="I7" s="4">
        <v>391</v>
      </c>
      <c r="J7" s="4">
        <v>356</v>
      </c>
      <c r="K7" s="4">
        <v>356</v>
      </c>
      <c r="L7" s="4">
        <v>340</v>
      </c>
      <c r="M7" s="4">
        <v>368</v>
      </c>
      <c r="N7" s="4">
        <v>344</v>
      </c>
      <c r="O7">
        <f t="shared" si="1"/>
        <v>359.1666666666667</v>
      </c>
      <c r="P7">
        <f t="shared" si="2"/>
        <v>7.547258516250197</v>
      </c>
      <c r="Q7">
        <v>3</v>
      </c>
    </row>
    <row r="8" spans="1:17" ht="15">
      <c r="A8" s="2" t="s">
        <v>38</v>
      </c>
      <c r="B8" s="4">
        <v>373</v>
      </c>
      <c r="C8" s="4">
        <v>345</v>
      </c>
      <c r="D8" s="4">
        <v>141.82</v>
      </c>
      <c r="E8" s="4">
        <v>15.94</v>
      </c>
      <c r="F8" s="4">
        <f t="shared" si="0"/>
        <v>125.88</v>
      </c>
      <c r="G8">
        <f>F8/2/3</f>
        <v>20.98</v>
      </c>
      <c r="I8" s="4">
        <v>394</v>
      </c>
      <c r="J8" s="4">
        <v>358</v>
      </c>
      <c r="K8" s="4">
        <v>359</v>
      </c>
      <c r="L8" s="4">
        <v>345</v>
      </c>
      <c r="M8" s="4">
        <v>373</v>
      </c>
      <c r="N8" s="4">
        <v>345</v>
      </c>
      <c r="O8">
        <f t="shared" si="1"/>
        <v>362.3333333333333</v>
      </c>
      <c r="P8">
        <f t="shared" si="2"/>
        <v>7.6318047960128315</v>
      </c>
      <c r="Q8">
        <v>5</v>
      </c>
    </row>
    <row r="9" spans="1:17" ht="15">
      <c r="A9" s="2" t="s">
        <v>19</v>
      </c>
      <c r="B9" s="4">
        <v>383</v>
      </c>
      <c r="C9" s="4">
        <v>352</v>
      </c>
      <c r="D9" s="4">
        <v>127.54</v>
      </c>
      <c r="E9" s="4">
        <v>28.34</v>
      </c>
      <c r="F9" s="4">
        <f t="shared" si="0"/>
        <v>99.2</v>
      </c>
      <c r="G9">
        <f>F9/2/2</f>
        <v>24.8</v>
      </c>
      <c r="I9" s="6">
        <v>407</v>
      </c>
      <c r="J9" s="6">
        <v>365</v>
      </c>
      <c r="K9" s="6">
        <v>372</v>
      </c>
      <c r="L9" s="6">
        <v>347</v>
      </c>
      <c r="M9" s="6">
        <v>383</v>
      </c>
      <c r="N9" s="6">
        <v>352</v>
      </c>
      <c r="O9">
        <f t="shared" si="1"/>
        <v>371</v>
      </c>
      <c r="P9">
        <f t="shared" si="2"/>
        <v>8.970321436083921</v>
      </c>
      <c r="Q9">
        <v>8</v>
      </c>
    </row>
    <row r="10" spans="1:17" ht="15">
      <c r="A10" s="2" t="s">
        <v>20</v>
      </c>
      <c r="B10" s="4">
        <v>393</v>
      </c>
      <c r="C10" s="4">
        <v>359</v>
      </c>
      <c r="D10" s="4">
        <v>104.74</v>
      </c>
      <c r="E10" s="4">
        <v>18.32</v>
      </c>
      <c r="F10" s="4">
        <f t="shared" si="0"/>
        <v>86.41999999999999</v>
      </c>
      <c r="G10">
        <f>F10/2/2</f>
        <v>21.604999999999997</v>
      </c>
      <c r="I10" s="6">
        <v>413</v>
      </c>
      <c r="J10" s="6">
        <v>369</v>
      </c>
      <c r="K10" s="6">
        <v>378</v>
      </c>
      <c r="L10" s="6">
        <v>351</v>
      </c>
      <c r="M10" s="6">
        <v>393</v>
      </c>
      <c r="N10" s="6">
        <v>359</v>
      </c>
      <c r="O10" s="6">
        <f t="shared" si="1"/>
        <v>377.1666666666667</v>
      </c>
      <c r="P10">
        <f t="shared" si="2"/>
        <v>9.33958124209955</v>
      </c>
      <c r="Q10">
        <v>10</v>
      </c>
    </row>
    <row r="11" spans="1:17" ht="15">
      <c r="A11" s="2" t="s">
        <v>39</v>
      </c>
      <c r="B11" s="4">
        <v>404</v>
      </c>
      <c r="C11" s="4">
        <v>365</v>
      </c>
      <c r="D11" s="4">
        <v>126.39</v>
      </c>
      <c r="E11" s="4">
        <v>0</v>
      </c>
      <c r="F11" s="4">
        <f t="shared" si="0"/>
        <v>126.39</v>
      </c>
      <c r="G11" s="6">
        <f>F11/2/3</f>
        <v>21.065</v>
      </c>
      <c r="I11" s="6">
        <v>419</v>
      </c>
      <c r="J11" s="6">
        <v>377</v>
      </c>
      <c r="K11" s="6">
        <v>385</v>
      </c>
      <c r="L11" s="6">
        <v>355</v>
      </c>
      <c r="M11" s="6">
        <v>404</v>
      </c>
      <c r="N11" s="6">
        <v>365</v>
      </c>
      <c r="O11" s="6">
        <f t="shared" si="1"/>
        <v>384.1666666666667</v>
      </c>
      <c r="P11">
        <f t="shared" si="2"/>
        <v>9.792570880235917</v>
      </c>
      <c r="Q11">
        <v>12</v>
      </c>
    </row>
    <row r="12" spans="1:17" ht="15">
      <c r="A12" s="2" t="s">
        <v>21</v>
      </c>
      <c r="B12" s="4">
        <v>408</v>
      </c>
      <c r="C12" s="4">
        <v>374</v>
      </c>
      <c r="D12" s="4">
        <v>227.44</v>
      </c>
      <c r="E12" s="4">
        <v>42.14</v>
      </c>
      <c r="F12" s="4">
        <f t="shared" si="0"/>
        <v>185.3</v>
      </c>
      <c r="G12" s="6">
        <f>F12/2/4</f>
        <v>23.1625</v>
      </c>
      <c r="I12" s="8">
        <v>432</v>
      </c>
      <c r="J12" s="8">
        <v>387</v>
      </c>
      <c r="K12" s="8">
        <v>396</v>
      </c>
      <c r="L12" s="8">
        <v>360</v>
      </c>
      <c r="M12" s="8">
        <v>408</v>
      </c>
      <c r="N12" s="8">
        <v>374</v>
      </c>
      <c r="O12" s="6">
        <f t="shared" si="1"/>
        <v>392.8333333333333</v>
      </c>
      <c r="P12">
        <f t="shared" si="2"/>
        <v>10.39364121844591</v>
      </c>
      <c r="Q12">
        <v>15</v>
      </c>
    </row>
    <row r="13" spans="1:17" ht="15">
      <c r="A13" s="2" t="s">
        <v>40</v>
      </c>
      <c r="B13" s="4">
        <v>434</v>
      </c>
      <c r="C13" s="4">
        <v>392</v>
      </c>
      <c r="D13" s="4">
        <v>181.68</v>
      </c>
      <c r="E13" s="4">
        <v>47.51</v>
      </c>
      <c r="F13" s="4">
        <f t="shared" si="0"/>
        <v>134.17000000000002</v>
      </c>
      <c r="G13" s="6">
        <f>F13/2/3</f>
        <v>22.361666666666668</v>
      </c>
      <c r="I13" s="6">
        <v>446</v>
      </c>
      <c r="J13" s="6">
        <v>393</v>
      </c>
      <c r="K13" s="6">
        <v>410</v>
      </c>
      <c r="L13" s="6">
        <v>376</v>
      </c>
      <c r="M13" s="6">
        <v>434</v>
      </c>
      <c r="N13" s="6">
        <v>392</v>
      </c>
      <c r="O13" s="6">
        <f t="shared" si="1"/>
        <v>408.5</v>
      </c>
      <c r="P13">
        <f t="shared" si="2"/>
        <v>10.996211468804457</v>
      </c>
      <c r="Q13">
        <v>19</v>
      </c>
    </row>
    <row r="14" spans="1:17" ht="15">
      <c r="A14" s="2" t="s">
        <v>22</v>
      </c>
      <c r="B14" s="4">
        <v>440</v>
      </c>
      <c r="C14" s="4">
        <v>402</v>
      </c>
      <c r="D14" s="4">
        <v>158.62</v>
      </c>
      <c r="E14" s="4">
        <v>27.85</v>
      </c>
      <c r="F14" s="4">
        <f t="shared" si="0"/>
        <v>130.77</v>
      </c>
      <c r="G14" s="6">
        <f>F14/2/3</f>
        <v>21.795</v>
      </c>
      <c r="I14" s="6">
        <v>456</v>
      </c>
      <c r="J14" s="6">
        <v>405</v>
      </c>
      <c r="K14" s="6">
        <v>420</v>
      </c>
      <c r="L14" s="6">
        <v>386</v>
      </c>
      <c r="M14" s="6">
        <v>440</v>
      </c>
      <c r="N14" s="6">
        <v>402</v>
      </c>
      <c r="O14" s="6">
        <f t="shared" si="1"/>
        <v>418.1666666666667</v>
      </c>
      <c r="P14">
        <f t="shared" si="2"/>
        <v>10.615763959529454</v>
      </c>
      <c r="Q14">
        <v>22</v>
      </c>
    </row>
    <row r="15" spans="1:17" ht="15">
      <c r="A15" s="2" t="s">
        <v>30</v>
      </c>
      <c r="B15" s="4">
        <v>450</v>
      </c>
      <c r="C15" s="4">
        <v>408</v>
      </c>
      <c r="D15" s="4">
        <v>131.75</v>
      </c>
      <c r="E15" s="4">
        <v>81.94</v>
      </c>
      <c r="F15" s="4">
        <f t="shared" si="0"/>
        <v>49.81</v>
      </c>
      <c r="G15" s="6">
        <f>F15/2</f>
        <v>24.905</v>
      </c>
      <c r="I15" s="6">
        <v>463</v>
      </c>
      <c r="J15" s="6">
        <v>409</v>
      </c>
      <c r="K15" s="6">
        <v>425</v>
      </c>
      <c r="L15" s="6">
        <v>388</v>
      </c>
      <c r="M15" s="6">
        <v>450</v>
      </c>
      <c r="N15" s="6">
        <v>408</v>
      </c>
      <c r="O15" s="6">
        <f t="shared" si="1"/>
        <v>423.8333333333333</v>
      </c>
      <c r="P15">
        <f t="shared" si="2"/>
        <v>11.510623112779102</v>
      </c>
      <c r="Q15">
        <v>25</v>
      </c>
    </row>
    <row r="16" spans="1:17" ht="15">
      <c r="A16" s="2" t="s">
        <v>41</v>
      </c>
      <c r="B16" s="4">
        <v>455</v>
      </c>
      <c r="C16" s="4">
        <v>411</v>
      </c>
      <c r="D16" s="4">
        <v>226.18</v>
      </c>
      <c r="E16" s="4">
        <v>63.27</v>
      </c>
      <c r="F16" s="4">
        <f t="shared" si="0"/>
        <v>162.91</v>
      </c>
      <c r="G16" s="6">
        <f>F16/2/4</f>
        <v>20.36375</v>
      </c>
      <c r="I16" s="6">
        <v>467</v>
      </c>
      <c r="J16" s="6">
        <v>414</v>
      </c>
      <c r="K16" s="6">
        <v>429</v>
      </c>
      <c r="L16" s="6">
        <v>392</v>
      </c>
      <c r="M16" s="6">
        <v>455</v>
      </c>
      <c r="N16" s="6">
        <v>411</v>
      </c>
      <c r="O16" s="6">
        <f t="shared" si="1"/>
        <v>428</v>
      </c>
      <c r="P16">
        <f t="shared" si="2"/>
        <v>11.593101396951552</v>
      </c>
      <c r="Q16">
        <v>26</v>
      </c>
    </row>
    <row r="17" spans="1:17" ht="15">
      <c r="A17" s="2" t="s">
        <v>32</v>
      </c>
      <c r="B17" s="4">
        <v>465</v>
      </c>
      <c r="C17" s="4">
        <v>415</v>
      </c>
      <c r="D17" s="4"/>
      <c r="E17" s="4"/>
      <c r="F17" s="4"/>
      <c r="I17" s="6">
        <v>478</v>
      </c>
      <c r="J17" s="6">
        <v>424</v>
      </c>
      <c r="K17" s="6">
        <v>438</v>
      </c>
      <c r="L17" s="6">
        <v>400</v>
      </c>
      <c r="M17" s="6">
        <v>465</v>
      </c>
      <c r="N17" s="6">
        <v>415</v>
      </c>
      <c r="O17" s="6">
        <f t="shared" si="1"/>
        <v>436.6666666666667</v>
      </c>
      <c r="P17">
        <f t="shared" si="2"/>
        <v>12.230199416926029</v>
      </c>
      <c r="Q17">
        <v>30</v>
      </c>
    </row>
    <row r="18" spans="1:6" ht="15">
      <c r="A18" s="2"/>
      <c r="B18" s="4"/>
      <c r="C18" s="4"/>
      <c r="D18" s="4"/>
      <c r="E18" s="4"/>
      <c r="F18" s="4"/>
    </row>
    <row r="19" spans="1:8" ht="15">
      <c r="A19" s="2"/>
      <c r="B19" s="4"/>
      <c r="C19" s="4"/>
      <c r="D19" s="4"/>
      <c r="E19" s="4"/>
      <c r="F19" s="4">
        <f>SUM(F6:F18)</f>
        <v>1279.29</v>
      </c>
      <c r="G19" s="7" t="s">
        <v>90</v>
      </c>
      <c r="H19">
        <f>F19*14.11/2</f>
        <v>9025.390949999999</v>
      </c>
    </row>
    <row r="20" spans="1:6" ht="15">
      <c r="A20" s="1"/>
      <c r="E20" s="29" t="s">
        <v>201</v>
      </c>
      <c r="F20" s="29">
        <f>F19/2</f>
        <v>639.645</v>
      </c>
    </row>
    <row r="21" ht="15">
      <c r="B21" t="s">
        <v>27</v>
      </c>
    </row>
    <row r="22" spans="2:16" ht="15">
      <c r="B22" t="s">
        <v>28</v>
      </c>
      <c r="G22" t="s">
        <v>66</v>
      </c>
      <c r="I22">
        <v>1</v>
      </c>
      <c r="J22">
        <v>2</v>
      </c>
      <c r="K22">
        <v>3</v>
      </c>
      <c r="L22">
        <v>4</v>
      </c>
      <c r="M22">
        <v>5</v>
      </c>
      <c r="N22">
        <v>6</v>
      </c>
      <c r="O22" t="s">
        <v>61</v>
      </c>
      <c r="P22" t="s">
        <v>62</v>
      </c>
    </row>
    <row r="23" ht="15">
      <c r="B23" t="s">
        <v>29</v>
      </c>
    </row>
    <row r="25" spans="8:17" ht="15">
      <c r="H25">
        <v>1</v>
      </c>
      <c r="I25" s="9">
        <f aca="true" t="shared" si="3" ref="I25:N36">I6*100/I$6</f>
        <v>100</v>
      </c>
      <c r="J25" s="9">
        <f t="shared" si="3"/>
        <v>100</v>
      </c>
      <c r="K25" s="9">
        <f t="shared" si="3"/>
        <v>100</v>
      </c>
      <c r="L25" s="9">
        <f t="shared" si="3"/>
        <v>100</v>
      </c>
      <c r="M25" s="9">
        <f t="shared" si="3"/>
        <v>100</v>
      </c>
      <c r="N25" s="9">
        <f t="shared" si="3"/>
        <v>100</v>
      </c>
      <c r="O25" s="10">
        <f>AVERAGE(I25:N25)</f>
        <v>100</v>
      </c>
      <c r="P25" s="9">
        <f>STDEV(I25:N25)/SQRT(6)</f>
        <v>0</v>
      </c>
      <c r="Q25">
        <v>1</v>
      </c>
    </row>
    <row r="26" spans="8:17" ht="15">
      <c r="H26">
        <v>3</v>
      </c>
      <c r="I26" s="9">
        <f t="shared" si="3"/>
        <v>100.51413881748071</v>
      </c>
      <c r="J26" s="9">
        <f t="shared" si="3"/>
        <v>100.28169014084507</v>
      </c>
      <c r="K26" s="9">
        <f t="shared" si="3"/>
        <v>101.42450142450143</v>
      </c>
      <c r="L26" s="9">
        <f t="shared" si="3"/>
        <v>101.19047619047619</v>
      </c>
      <c r="M26" s="9">
        <f t="shared" si="3"/>
        <v>102.79329608938548</v>
      </c>
      <c r="N26" s="9">
        <f t="shared" si="3"/>
        <v>102.9940119760479</v>
      </c>
      <c r="O26" s="10">
        <f aca="true" t="shared" si="4" ref="O26:O36">AVERAGE(I26:N26)</f>
        <v>101.53301910645614</v>
      </c>
      <c r="P26" s="9">
        <f aca="true" t="shared" si="5" ref="P26:P36">STDEV(I26:N26)/SQRT(6)</f>
        <v>0.4638911940934796</v>
      </c>
      <c r="Q26">
        <v>3</v>
      </c>
    </row>
    <row r="27" spans="8:17" ht="15">
      <c r="H27">
        <v>5</v>
      </c>
      <c r="I27" s="9">
        <f t="shared" si="3"/>
        <v>101.2853470437018</v>
      </c>
      <c r="J27" s="9">
        <f t="shared" si="3"/>
        <v>100.84507042253522</v>
      </c>
      <c r="K27" s="9">
        <f t="shared" si="3"/>
        <v>102.27920227920228</v>
      </c>
      <c r="L27" s="9">
        <f t="shared" si="3"/>
        <v>102.67857142857143</v>
      </c>
      <c r="M27" s="9">
        <f t="shared" si="3"/>
        <v>104.18994413407822</v>
      </c>
      <c r="N27" s="9">
        <f t="shared" si="3"/>
        <v>103.2934131736527</v>
      </c>
      <c r="O27" s="10">
        <f t="shared" si="4"/>
        <v>102.42859141362361</v>
      </c>
      <c r="P27" s="9">
        <f t="shared" si="5"/>
        <v>0.5082530085959353</v>
      </c>
      <c r="Q27">
        <v>5</v>
      </c>
    </row>
    <row r="28" spans="8:17" ht="15">
      <c r="H28">
        <v>8</v>
      </c>
      <c r="I28" s="9">
        <f t="shared" si="3"/>
        <v>104.62724935732648</v>
      </c>
      <c r="J28" s="9">
        <f t="shared" si="3"/>
        <v>102.8169014084507</v>
      </c>
      <c r="K28" s="9">
        <f t="shared" si="3"/>
        <v>105.98290598290598</v>
      </c>
      <c r="L28" s="9">
        <f t="shared" si="3"/>
        <v>103.27380952380952</v>
      </c>
      <c r="M28" s="9">
        <f t="shared" si="3"/>
        <v>106.98324022346368</v>
      </c>
      <c r="N28" s="9">
        <f t="shared" si="3"/>
        <v>105.38922155688623</v>
      </c>
      <c r="O28" s="10">
        <f t="shared" si="4"/>
        <v>104.84555467547376</v>
      </c>
      <c r="P28" s="9">
        <f t="shared" si="5"/>
        <v>0.6530011558964312</v>
      </c>
      <c r="Q28">
        <v>8</v>
      </c>
    </row>
    <row r="29" spans="8:17" ht="15">
      <c r="H29">
        <v>10</v>
      </c>
      <c r="I29" s="9">
        <f t="shared" si="3"/>
        <v>106.16966580976863</v>
      </c>
      <c r="J29" s="9">
        <f t="shared" si="3"/>
        <v>103.94366197183099</v>
      </c>
      <c r="K29" s="9">
        <f t="shared" si="3"/>
        <v>107.6923076923077</v>
      </c>
      <c r="L29" s="9">
        <f t="shared" si="3"/>
        <v>104.46428571428571</v>
      </c>
      <c r="M29" s="9">
        <f t="shared" si="3"/>
        <v>109.77653631284916</v>
      </c>
      <c r="N29" s="9">
        <f t="shared" si="3"/>
        <v>107.48502994011976</v>
      </c>
      <c r="O29" s="10">
        <f t="shared" si="4"/>
        <v>106.58858124019366</v>
      </c>
      <c r="P29" s="9">
        <f t="shared" si="5"/>
        <v>0.8919755126190816</v>
      </c>
      <c r="Q29">
        <v>10</v>
      </c>
    </row>
    <row r="30" spans="8:17" ht="15">
      <c r="H30">
        <v>12</v>
      </c>
      <c r="I30" s="9">
        <f t="shared" si="3"/>
        <v>107.7120822622108</v>
      </c>
      <c r="J30" s="9">
        <f t="shared" si="3"/>
        <v>106.19718309859155</v>
      </c>
      <c r="K30" s="9">
        <f t="shared" si="3"/>
        <v>109.68660968660969</v>
      </c>
      <c r="L30" s="9">
        <f t="shared" si="3"/>
        <v>105.6547619047619</v>
      </c>
      <c r="M30" s="9">
        <f t="shared" si="3"/>
        <v>112.84916201117318</v>
      </c>
      <c r="N30" s="9">
        <f t="shared" si="3"/>
        <v>109.2814371257485</v>
      </c>
      <c r="O30" s="10">
        <f t="shared" si="4"/>
        <v>108.56353934818263</v>
      </c>
      <c r="P30" s="9">
        <f t="shared" si="5"/>
        <v>1.079024761813656</v>
      </c>
      <c r="Q30">
        <v>12</v>
      </c>
    </row>
    <row r="31" spans="8:17" ht="15">
      <c r="H31">
        <v>15</v>
      </c>
      <c r="I31" s="9">
        <f t="shared" si="3"/>
        <v>111.05398457583547</v>
      </c>
      <c r="J31" s="9">
        <f t="shared" si="3"/>
        <v>109.01408450704226</v>
      </c>
      <c r="K31" s="9">
        <f t="shared" si="3"/>
        <v>112.82051282051282</v>
      </c>
      <c r="L31" s="9">
        <f t="shared" si="3"/>
        <v>107.14285714285714</v>
      </c>
      <c r="M31" s="9">
        <f t="shared" si="3"/>
        <v>113.96648044692738</v>
      </c>
      <c r="N31" s="9">
        <f t="shared" si="3"/>
        <v>111.97604790419162</v>
      </c>
      <c r="O31" s="10">
        <f t="shared" si="4"/>
        <v>110.99566123289445</v>
      </c>
      <c r="P31" s="9">
        <f t="shared" si="5"/>
        <v>1.0310375911921088</v>
      </c>
      <c r="Q31">
        <v>15</v>
      </c>
    </row>
    <row r="32" spans="8:17" ht="15">
      <c r="H32">
        <v>19</v>
      </c>
      <c r="I32" s="9">
        <f t="shared" si="3"/>
        <v>114.65295629820051</v>
      </c>
      <c r="J32" s="9">
        <f t="shared" si="3"/>
        <v>110.70422535211267</v>
      </c>
      <c r="K32" s="9">
        <f t="shared" si="3"/>
        <v>116.80911680911682</v>
      </c>
      <c r="L32" s="9">
        <f t="shared" si="3"/>
        <v>111.9047619047619</v>
      </c>
      <c r="M32" s="9">
        <f t="shared" si="3"/>
        <v>121.22905027932961</v>
      </c>
      <c r="N32" s="9">
        <f t="shared" si="3"/>
        <v>117.36526946107784</v>
      </c>
      <c r="O32" s="10">
        <f t="shared" si="4"/>
        <v>115.44423001743321</v>
      </c>
      <c r="P32" s="9">
        <f t="shared" si="5"/>
        <v>1.5773294604829589</v>
      </c>
      <c r="Q32">
        <v>19</v>
      </c>
    </row>
    <row r="33" spans="8:17" ht="15">
      <c r="H33">
        <v>22</v>
      </c>
      <c r="I33" s="9">
        <f t="shared" si="3"/>
        <v>117.22365038560412</v>
      </c>
      <c r="J33" s="9">
        <f t="shared" si="3"/>
        <v>114.08450704225352</v>
      </c>
      <c r="K33" s="9">
        <f t="shared" si="3"/>
        <v>119.65811965811966</v>
      </c>
      <c r="L33" s="9">
        <f t="shared" si="3"/>
        <v>114.88095238095238</v>
      </c>
      <c r="M33" s="9">
        <f t="shared" si="3"/>
        <v>122.90502793296089</v>
      </c>
      <c r="N33" s="9">
        <f t="shared" si="3"/>
        <v>120.35928143712574</v>
      </c>
      <c r="O33" s="10">
        <f t="shared" si="4"/>
        <v>118.18525647283606</v>
      </c>
      <c r="P33" s="9">
        <f t="shared" si="5"/>
        <v>1.3884188949399865</v>
      </c>
      <c r="Q33">
        <v>22</v>
      </c>
    </row>
    <row r="34" spans="8:17" ht="15">
      <c r="H34">
        <v>25</v>
      </c>
      <c r="I34" s="9">
        <f t="shared" si="3"/>
        <v>119.02313624678663</v>
      </c>
      <c r="J34" s="9">
        <f t="shared" si="3"/>
        <v>115.21126760563381</v>
      </c>
      <c r="K34" s="9">
        <f t="shared" si="3"/>
        <v>121.08262108262109</v>
      </c>
      <c r="L34" s="9">
        <f t="shared" si="3"/>
        <v>115.47619047619048</v>
      </c>
      <c r="M34" s="9">
        <f t="shared" si="3"/>
        <v>125.69832402234637</v>
      </c>
      <c r="N34" s="9">
        <f t="shared" si="3"/>
        <v>122.1556886227545</v>
      </c>
      <c r="O34" s="10">
        <f t="shared" si="4"/>
        <v>119.77453800938882</v>
      </c>
      <c r="P34" s="9">
        <f t="shared" si="5"/>
        <v>1.6566636472148915</v>
      </c>
      <c r="Q34">
        <v>25</v>
      </c>
    </row>
    <row r="35" spans="8:17" ht="15">
      <c r="H35">
        <v>26</v>
      </c>
      <c r="I35" s="9">
        <f t="shared" si="3"/>
        <v>120.05141388174808</v>
      </c>
      <c r="J35" s="9">
        <f t="shared" si="3"/>
        <v>116.61971830985915</v>
      </c>
      <c r="K35" s="9">
        <f t="shared" si="3"/>
        <v>122.22222222222223</v>
      </c>
      <c r="L35" s="9">
        <f t="shared" si="3"/>
        <v>116.66666666666667</v>
      </c>
      <c r="M35" s="9">
        <f t="shared" si="3"/>
        <v>127.09497206703911</v>
      </c>
      <c r="N35" s="9">
        <f t="shared" si="3"/>
        <v>123.05389221556887</v>
      </c>
      <c r="O35" s="10">
        <f t="shared" si="4"/>
        <v>120.9514808938507</v>
      </c>
      <c r="P35" s="9">
        <f t="shared" si="5"/>
        <v>1.650366841606104</v>
      </c>
      <c r="Q35">
        <v>26</v>
      </c>
    </row>
    <row r="36" spans="8:17" ht="15">
      <c r="H36">
        <v>30</v>
      </c>
      <c r="I36" s="9">
        <f t="shared" si="3"/>
        <v>122.87917737789203</v>
      </c>
      <c r="J36" s="9">
        <f t="shared" si="3"/>
        <v>119.43661971830986</v>
      </c>
      <c r="K36" s="9">
        <f t="shared" si="3"/>
        <v>124.78632478632478</v>
      </c>
      <c r="L36" s="9">
        <f t="shared" si="3"/>
        <v>119.04761904761905</v>
      </c>
      <c r="M36" s="9">
        <f t="shared" si="3"/>
        <v>129.88826815642457</v>
      </c>
      <c r="N36" s="9">
        <f t="shared" si="3"/>
        <v>124.25149700598803</v>
      </c>
      <c r="O36" s="10">
        <f t="shared" si="4"/>
        <v>123.3815843487597</v>
      </c>
      <c r="P36" s="9">
        <f t="shared" si="5"/>
        <v>1.6295745030777482</v>
      </c>
      <c r="Q36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20" sqref="H20"/>
    </sheetView>
  </sheetViews>
  <sheetFormatPr defaultColWidth="11.421875" defaultRowHeight="15"/>
  <cols>
    <col min="1" max="1" width="20.7109375" style="0" customWidth="1"/>
    <col min="2" max="2" width="13.7109375" style="0" customWidth="1"/>
    <col min="3" max="3" width="14.421875" style="0" customWidth="1"/>
  </cols>
  <sheetData>
    <row r="1" ht="15">
      <c r="A1" s="1" t="s">
        <v>33</v>
      </c>
    </row>
    <row r="3" spans="1:6" ht="15">
      <c r="A3" s="2" t="s">
        <v>47</v>
      </c>
      <c r="B3" s="3" t="s">
        <v>49</v>
      </c>
      <c r="C3" s="3" t="s">
        <v>50</v>
      </c>
      <c r="D3" s="3"/>
      <c r="E3" s="3"/>
      <c r="F3" s="3"/>
    </row>
    <row r="4" spans="1:6" ht="15">
      <c r="A4" s="4"/>
      <c r="B4" s="3" t="s">
        <v>18</v>
      </c>
      <c r="C4" s="3" t="s">
        <v>24</v>
      </c>
      <c r="D4" s="3" t="s">
        <v>25</v>
      </c>
      <c r="E4" s="3" t="s">
        <v>26</v>
      </c>
      <c r="F4" s="3" t="s">
        <v>31</v>
      </c>
    </row>
    <row r="5" spans="1:6" ht="15">
      <c r="A5" s="2" t="s">
        <v>48</v>
      </c>
      <c r="B5" s="4">
        <v>231</v>
      </c>
      <c r="C5" s="4">
        <v>228</v>
      </c>
      <c r="D5" s="4"/>
      <c r="E5" s="4"/>
      <c r="F5" s="4"/>
    </row>
    <row r="6" spans="1:7" ht="15">
      <c r="A6" s="2" t="s">
        <v>7</v>
      </c>
      <c r="B6" s="4">
        <v>234</v>
      </c>
      <c r="C6" s="4">
        <v>224</v>
      </c>
      <c r="D6" s="4">
        <v>69.29</v>
      </c>
      <c r="E6" s="4">
        <v>38.1</v>
      </c>
      <c r="F6" s="4">
        <f aca="true" t="shared" si="0" ref="F6:F17">D6-E6</f>
        <v>31.190000000000005</v>
      </c>
      <c r="G6">
        <f>F6/2</f>
        <v>15.595000000000002</v>
      </c>
    </row>
    <row r="7" spans="1:7" ht="15">
      <c r="A7" s="2" t="s">
        <v>8</v>
      </c>
      <c r="B7" s="4">
        <v>235</v>
      </c>
      <c r="C7" s="4">
        <v>225</v>
      </c>
      <c r="D7" s="4">
        <v>132.55</v>
      </c>
      <c r="E7" s="4">
        <v>76.13</v>
      </c>
      <c r="F7" s="4">
        <f t="shared" si="0"/>
        <v>56.420000000000016</v>
      </c>
      <c r="G7">
        <f>F7/2/2</f>
        <v>14.105000000000004</v>
      </c>
    </row>
    <row r="8" spans="1:7" ht="15">
      <c r="A8" s="2" t="s">
        <v>10</v>
      </c>
      <c r="B8" s="4">
        <v>234</v>
      </c>
      <c r="C8" s="4">
        <v>227</v>
      </c>
      <c r="D8" s="4">
        <v>111.58</v>
      </c>
      <c r="E8" s="4">
        <v>31.93</v>
      </c>
      <c r="F8" s="4">
        <f t="shared" si="0"/>
        <v>79.65</v>
      </c>
      <c r="G8">
        <f>F8/2/3</f>
        <v>13.275</v>
      </c>
    </row>
    <row r="9" spans="1:7" ht="15">
      <c r="A9" s="2" t="s">
        <v>11</v>
      </c>
      <c r="B9" s="4">
        <v>243</v>
      </c>
      <c r="C9" s="4">
        <v>225</v>
      </c>
      <c r="D9" s="4">
        <v>75.11</v>
      </c>
      <c r="E9" s="4">
        <v>16.81</v>
      </c>
      <c r="F9" s="4">
        <f t="shared" si="0"/>
        <v>58.3</v>
      </c>
      <c r="G9">
        <f>F9/2/2</f>
        <v>14.575</v>
      </c>
    </row>
    <row r="10" spans="1:7" ht="15">
      <c r="A10" s="2" t="s">
        <v>12</v>
      </c>
      <c r="B10" s="4">
        <v>241</v>
      </c>
      <c r="C10" s="4">
        <v>229</v>
      </c>
      <c r="D10" s="4">
        <v>76.41</v>
      </c>
      <c r="E10" s="4">
        <v>19.64</v>
      </c>
      <c r="F10" s="4">
        <f t="shared" si="0"/>
        <v>56.769999999999996</v>
      </c>
      <c r="G10">
        <f>F10/2/2</f>
        <v>14.192499999999999</v>
      </c>
    </row>
    <row r="11" spans="1:7" ht="15">
      <c r="A11" s="2" t="s">
        <v>13</v>
      </c>
      <c r="B11" s="4">
        <v>247</v>
      </c>
      <c r="C11" s="4">
        <v>229</v>
      </c>
      <c r="D11" s="4">
        <v>111.82</v>
      </c>
      <c r="E11" s="4">
        <v>23.57</v>
      </c>
      <c r="F11" s="4">
        <f t="shared" si="0"/>
        <v>88.25</v>
      </c>
      <c r="G11">
        <f>F11/2/3</f>
        <v>14.708333333333334</v>
      </c>
    </row>
    <row r="12" spans="1:7" ht="15">
      <c r="A12" s="2" t="s">
        <v>14</v>
      </c>
      <c r="B12" s="4">
        <v>250</v>
      </c>
      <c r="C12" s="4">
        <v>238</v>
      </c>
      <c r="D12" s="4">
        <v>181.26</v>
      </c>
      <c r="E12" s="4">
        <v>75.77</v>
      </c>
      <c r="F12" s="4">
        <f t="shared" si="0"/>
        <v>105.49</v>
      </c>
      <c r="G12">
        <f>F12/2/4</f>
        <v>13.18625</v>
      </c>
    </row>
    <row r="13" spans="1:7" ht="15">
      <c r="A13" s="2" t="s">
        <v>15</v>
      </c>
      <c r="B13" s="4">
        <v>254</v>
      </c>
      <c r="C13" s="4">
        <v>242</v>
      </c>
      <c r="D13" s="4">
        <v>137.14</v>
      </c>
      <c r="E13" s="4">
        <v>55.33</v>
      </c>
      <c r="F13" s="4">
        <f t="shared" si="0"/>
        <v>81.80999999999999</v>
      </c>
      <c r="G13">
        <f>F13/2/3</f>
        <v>13.634999999999998</v>
      </c>
    </row>
    <row r="14" spans="1:7" ht="15">
      <c r="A14" s="2" t="s">
        <v>16</v>
      </c>
      <c r="B14" s="4">
        <v>254</v>
      </c>
      <c r="C14" s="4">
        <v>247</v>
      </c>
      <c r="D14" s="4">
        <v>144.14</v>
      </c>
      <c r="E14" s="4">
        <v>54.42</v>
      </c>
      <c r="F14" s="4">
        <f t="shared" si="0"/>
        <v>89.71999999999998</v>
      </c>
      <c r="G14">
        <f>F14/2/3</f>
        <v>14.953333333333331</v>
      </c>
    </row>
    <row r="15" spans="1:7" ht="15">
      <c r="A15" s="2" t="s">
        <v>17</v>
      </c>
      <c r="B15" s="4">
        <v>251</v>
      </c>
      <c r="C15" s="4">
        <v>248</v>
      </c>
      <c r="D15" s="4">
        <v>92.19</v>
      </c>
      <c r="E15" s="4">
        <v>62.83</v>
      </c>
      <c r="F15" s="4">
        <f t="shared" si="0"/>
        <v>29.36</v>
      </c>
      <c r="G15">
        <f>F15/2</f>
        <v>14.68</v>
      </c>
    </row>
    <row r="16" spans="1:7" ht="15">
      <c r="A16" s="2" t="s">
        <v>30</v>
      </c>
      <c r="B16" s="4">
        <v>256</v>
      </c>
      <c r="C16" s="4">
        <v>252</v>
      </c>
      <c r="D16" s="4">
        <v>179.11</v>
      </c>
      <c r="E16" s="4">
        <v>73.68</v>
      </c>
      <c r="F16" s="4">
        <f t="shared" si="0"/>
        <v>105.43</v>
      </c>
      <c r="G16">
        <f>F16/2/4</f>
        <v>13.17875</v>
      </c>
    </row>
    <row r="17" spans="1:7" ht="15">
      <c r="A17" s="2" t="s">
        <v>23</v>
      </c>
      <c r="B17" s="4">
        <v>258</v>
      </c>
      <c r="C17" s="4">
        <v>260</v>
      </c>
      <c r="D17" s="4">
        <v>73.68</v>
      </c>
      <c r="E17" s="4">
        <v>48.04</v>
      </c>
      <c r="F17" s="4">
        <f t="shared" si="0"/>
        <v>25.640000000000008</v>
      </c>
      <c r="G17">
        <f>F17/2</f>
        <v>12.820000000000004</v>
      </c>
    </row>
    <row r="18" spans="1:6" ht="15">
      <c r="A18" s="2" t="s">
        <v>55</v>
      </c>
      <c r="B18" s="4">
        <v>263</v>
      </c>
      <c r="C18" s="4">
        <v>256</v>
      </c>
      <c r="D18" s="4"/>
      <c r="E18" s="4"/>
      <c r="F18" s="4"/>
    </row>
    <row r="19" spans="1:8" ht="15">
      <c r="A19" s="1"/>
      <c r="F19" s="4">
        <f>SUM(F6:F18)</f>
        <v>808.0300000000001</v>
      </c>
      <c r="G19" s="7" t="s">
        <v>90</v>
      </c>
      <c r="H19">
        <f>F19*14.11/2</f>
        <v>5700.651650000001</v>
      </c>
    </row>
    <row r="20" spans="2:6" ht="15">
      <c r="B20" t="s">
        <v>27</v>
      </c>
      <c r="E20" s="29" t="s">
        <v>201</v>
      </c>
      <c r="F20" s="29">
        <f>F19/2</f>
        <v>404.01500000000004</v>
      </c>
    </row>
    <row r="21" ht="15">
      <c r="B21" t="s">
        <v>28</v>
      </c>
    </row>
    <row r="22" ht="15">
      <c r="B22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20" sqref="F20"/>
    </sheetView>
  </sheetViews>
  <sheetFormatPr defaultColWidth="11.421875" defaultRowHeight="15"/>
  <cols>
    <col min="1" max="1" width="21.7109375" style="0" customWidth="1"/>
    <col min="2" max="2" width="13.28125" style="0" customWidth="1"/>
    <col min="3" max="3" width="13.421875" style="0" customWidth="1"/>
  </cols>
  <sheetData>
    <row r="1" ht="15">
      <c r="A1" s="1" t="s">
        <v>33</v>
      </c>
    </row>
    <row r="3" spans="1:6" ht="15">
      <c r="A3" s="2" t="s">
        <v>56</v>
      </c>
      <c r="B3" s="3" t="s">
        <v>51</v>
      </c>
      <c r="C3" s="3" t="s">
        <v>52</v>
      </c>
      <c r="D3" s="3"/>
      <c r="E3" s="3"/>
      <c r="F3" s="3"/>
    </row>
    <row r="4" spans="1:6" ht="15">
      <c r="A4" s="4"/>
      <c r="B4" s="3" t="s">
        <v>18</v>
      </c>
      <c r="C4" s="3" t="s">
        <v>24</v>
      </c>
      <c r="D4" s="3" t="s">
        <v>25</v>
      </c>
      <c r="E4" s="3" t="s">
        <v>26</v>
      </c>
      <c r="F4" s="3" t="s">
        <v>31</v>
      </c>
    </row>
    <row r="5" spans="1:6" ht="15">
      <c r="A5" s="2" t="s">
        <v>48</v>
      </c>
      <c r="B5" s="4">
        <v>237</v>
      </c>
      <c r="C5" s="4">
        <v>247</v>
      </c>
      <c r="D5" s="4"/>
      <c r="E5" s="4"/>
      <c r="F5" s="4"/>
    </row>
    <row r="6" spans="1:7" ht="15">
      <c r="A6" s="2" t="s">
        <v>7</v>
      </c>
      <c r="B6" s="4">
        <v>240</v>
      </c>
      <c r="C6" s="4">
        <v>250</v>
      </c>
      <c r="D6" s="4">
        <v>78.94</v>
      </c>
      <c r="E6" s="4">
        <v>46.6</v>
      </c>
      <c r="F6" s="4">
        <f aca="true" t="shared" si="0" ref="F6:F17">D6-E6</f>
        <v>32.339999999999996</v>
      </c>
      <c r="G6">
        <f>F6/2</f>
        <v>16.169999999999998</v>
      </c>
    </row>
    <row r="7" spans="1:7" ht="15">
      <c r="A7" s="2" t="s">
        <v>8</v>
      </c>
      <c r="B7" s="4">
        <v>233</v>
      </c>
      <c r="C7" s="4">
        <v>249</v>
      </c>
      <c r="D7" s="4">
        <v>101.37</v>
      </c>
      <c r="E7" s="4">
        <v>35.18</v>
      </c>
      <c r="F7" s="4">
        <f t="shared" si="0"/>
        <v>66.19</v>
      </c>
      <c r="G7">
        <f>F7/2/2</f>
        <v>16.5475</v>
      </c>
    </row>
    <row r="8" spans="1:7" ht="15">
      <c r="A8" s="2" t="s">
        <v>10</v>
      </c>
      <c r="B8" s="4">
        <v>239</v>
      </c>
      <c r="C8" s="4">
        <v>254</v>
      </c>
      <c r="D8" s="4">
        <v>107.34</v>
      </c>
      <c r="E8" s="4">
        <v>16.92</v>
      </c>
      <c r="F8" s="4">
        <f t="shared" si="0"/>
        <v>90.42</v>
      </c>
      <c r="G8">
        <f>F8/2/3</f>
        <v>15.07</v>
      </c>
    </row>
    <row r="9" spans="1:7" ht="15">
      <c r="A9" s="2" t="s">
        <v>11</v>
      </c>
      <c r="B9" s="4">
        <v>244</v>
      </c>
      <c r="C9" s="4">
        <v>259</v>
      </c>
      <c r="D9" s="4">
        <v>84.99</v>
      </c>
      <c r="E9" s="4">
        <v>16.23</v>
      </c>
      <c r="F9" s="4">
        <f t="shared" si="0"/>
        <v>68.75999999999999</v>
      </c>
      <c r="G9">
        <f>F9/2/2</f>
        <v>17.189999999999998</v>
      </c>
    </row>
    <row r="10" spans="1:7" ht="15">
      <c r="A10" s="2" t="s">
        <v>12</v>
      </c>
      <c r="B10" s="4">
        <v>246</v>
      </c>
      <c r="C10" s="4">
        <v>261</v>
      </c>
      <c r="D10" s="4">
        <v>93.6</v>
      </c>
      <c r="E10" s="4">
        <v>29.65</v>
      </c>
      <c r="F10" s="4">
        <f t="shared" si="0"/>
        <v>63.949999999999996</v>
      </c>
      <c r="G10">
        <f>F10/2/2</f>
        <v>15.987499999999999</v>
      </c>
    </row>
    <row r="11" spans="1:7" ht="15">
      <c r="A11" s="2" t="s">
        <v>13</v>
      </c>
      <c r="B11" s="4">
        <v>249</v>
      </c>
      <c r="C11" s="4">
        <v>266</v>
      </c>
      <c r="D11" s="4">
        <v>125.05</v>
      </c>
      <c r="E11" s="4">
        <v>38.36</v>
      </c>
      <c r="F11" s="4">
        <f t="shared" si="0"/>
        <v>86.69</v>
      </c>
      <c r="G11">
        <f>F11/2/3</f>
        <v>14.448333333333332</v>
      </c>
    </row>
    <row r="12" spans="1:7" ht="15">
      <c r="A12" s="2" t="s">
        <v>14</v>
      </c>
      <c r="B12" s="4">
        <v>251</v>
      </c>
      <c r="C12" s="4">
        <v>260</v>
      </c>
      <c r="D12" s="4">
        <v>178.65</v>
      </c>
      <c r="E12" s="4">
        <v>59.8</v>
      </c>
      <c r="F12" s="4">
        <f t="shared" si="0"/>
        <v>118.85000000000001</v>
      </c>
      <c r="G12">
        <f>F12/2/4</f>
        <v>14.856250000000001</v>
      </c>
    </row>
    <row r="13" spans="1:7" ht="15">
      <c r="A13" s="2" t="s">
        <v>15</v>
      </c>
      <c r="B13" s="4">
        <v>256</v>
      </c>
      <c r="C13" s="4">
        <v>264</v>
      </c>
      <c r="D13" s="4">
        <v>138.28</v>
      </c>
      <c r="E13" s="4">
        <v>42.12</v>
      </c>
      <c r="F13" s="4">
        <f t="shared" si="0"/>
        <v>96.16</v>
      </c>
      <c r="G13">
        <f>F13/2/3</f>
        <v>16.026666666666667</v>
      </c>
    </row>
    <row r="14" spans="1:7" ht="15">
      <c r="A14" s="2" t="s">
        <v>16</v>
      </c>
      <c r="B14" s="4">
        <v>263</v>
      </c>
      <c r="C14" s="4">
        <v>274</v>
      </c>
      <c r="D14" s="4">
        <v>155.14</v>
      </c>
      <c r="E14" s="4">
        <v>63.64</v>
      </c>
      <c r="F14" s="4">
        <f t="shared" si="0"/>
        <v>91.49999999999999</v>
      </c>
      <c r="G14">
        <f>F14/2/3</f>
        <v>15.249999999999998</v>
      </c>
    </row>
    <row r="15" spans="1:7" ht="15">
      <c r="A15" s="2" t="s">
        <v>17</v>
      </c>
      <c r="B15" s="4">
        <v>263</v>
      </c>
      <c r="C15" s="4">
        <v>276</v>
      </c>
      <c r="D15" s="4">
        <v>103.43</v>
      </c>
      <c r="E15" s="4">
        <v>76.13</v>
      </c>
      <c r="F15" s="4">
        <f t="shared" si="0"/>
        <v>27.30000000000001</v>
      </c>
      <c r="G15">
        <f>F15/2</f>
        <v>13.650000000000006</v>
      </c>
    </row>
    <row r="16" spans="1:7" ht="15">
      <c r="A16" s="2" t="s">
        <v>30</v>
      </c>
      <c r="B16" s="4">
        <v>265</v>
      </c>
      <c r="C16" s="4">
        <v>276</v>
      </c>
      <c r="D16" s="4">
        <v>165.49</v>
      </c>
      <c r="E16" s="4">
        <v>51.51</v>
      </c>
      <c r="F16" s="4">
        <f t="shared" si="0"/>
        <v>113.98000000000002</v>
      </c>
      <c r="G16">
        <f>F16/2/4</f>
        <v>14.247500000000002</v>
      </c>
    </row>
    <row r="17" spans="1:7" ht="15">
      <c r="A17" s="2" t="s">
        <v>23</v>
      </c>
      <c r="B17" s="4">
        <v>270</v>
      </c>
      <c r="C17" s="4">
        <v>278</v>
      </c>
      <c r="D17" s="4">
        <v>51.51</v>
      </c>
      <c r="E17" s="4">
        <v>28.79</v>
      </c>
      <c r="F17" s="4">
        <f t="shared" si="0"/>
        <v>22.72</v>
      </c>
      <c r="G17">
        <f>F17/2</f>
        <v>11.36</v>
      </c>
    </row>
    <row r="18" spans="1:6" ht="15">
      <c r="A18" s="2" t="s">
        <v>55</v>
      </c>
      <c r="B18" s="4">
        <v>265</v>
      </c>
      <c r="C18" s="4">
        <v>274</v>
      </c>
      <c r="D18" s="4"/>
      <c r="E18" s="4"/>
      <c r="F18" s="4"/>
    </row>
    <row r="19" spans="1:8" ht="15">
      <c r="A19" s="1"/>
      <c r="F19" s="4">
        <f>SUM(F6:F18)</f>
        <v>878.8599999999999</v>
      </c>
      <c r="G19" s="7" t="s">
        <v>90</v>
      </c>
      <c r="H19">
        <f>F19*14.11/2</f>
        <v>6200.357299999999</v>
      </c>
    </row>
    <row r="20" spans="2:6" ht="15">
      <c r="B20" t="s">
        <v>27</v>
      </c>
      <c r="E20" s="29" t="s">
        <v>201</v>
      </c>
      <c r="F20" s="29">
        <f>F19/2</f>
        <v>439.42999999999995</v>
      </c>
    </row>
    <row r="21" ht="15">
      <c r="B21" t="s">
        <v>28</v>
      </c>
    </row>
    <row r="22" ht="15">
      <c r="B22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E23" sqref="E23"/>
    </sheetView>
  </sheetViews>
  <sheetFormatPr defaultColWidth="11.421875" defaultRowHeight="15"/>
  <cols>
    <col min="1" max="1" width="21.7109375" style="0" customWidth="1"/>
    <col min="2" max="2" width="14.7109375" style="0" customWidth="1"/>
    <col min="3" max="3" width="14.00390625" style="0" customWidth="1"/>
  </cols>
  <sheetData>
    <row r="1" ht="15">
      <c r="A1" s="1" t="s">
        <v>33</v>
      </c>
    </row>
    <row r="2" ht="15">
      <c r="J2" t="s">
        <v>65</v>
      </c>
    </row>
    <row r="3" spans="1:17" ht="15">
      <c r="A3" s="2" t="s">
        <v>57</v>
      </c>
      <c r="B3" s="3" t="s">
        <v>53</v>
      </c>
      <c r="C3" s="3" t="s">
        <v>54</v>
      </c>
      <c r="D3" s="3"/>
      <c r="E3" s="3"/>
      <c r="F3" s="3"/>
      <c r="J3">
        <v>7</v>
      </c>
      <c r="K3">
        <v>8</v>
      </c>
      <c r="L3">
        <v>9</v>
      </c>
      <c r="M3">
        <v>10</v>
      </c>
      <c r="N3">
        <v>11</v>
      </c>
      <c r="O3">
        <v>12</v>
      </c>
      <c r="P3" t="s">
        <v>61</v>
      </c>
      <c r="Q3" t="s">
        <v>62</v>
      </c>
    </row>
    <row r="4" spans="1:6" ht="15">
      <c r="A4" s="4"/>
      <c r="B4" s="3" t="s">
        <v>18</v>
      </c>
      <c r="C4" s="3" t="s">
        <v>24</v>
      </c>
      <c r="D4" s="3" t="s">
        <v>25</v>
      </c>
      <c r="E4" s="3" t="s">
        <v>26</v>
      </c>
      <c r="F4" s="3" t="s">
        <v>31</v>
      </c>
    </row>
    <row r="5" spans="1:17" ht="15">
      <c r="A5" s="2" t="s">
        <v>48</v>
      </c>
      <c r="B5" s="4">
        <v>226</v>
      </c>
      <c r="C5" s="4">
        <v>230</v>
      </c>
      <c r="D5" s="4"/>
      <c r="E5" s="4"/>
      <c r="F5" s="4"/>
      <c r="J5">
        <v>231</v>
      </c>
      <c r="K5">
        <v>228</v>
      </c>
      <c r="L5">
        <v>237</v>
      </c>
      <c r="M5">
        <v>247</v>
      </c>
      <c r="N5">
        <v>226</v>
      </c>
      <c r="O5">
        <v>230</v>
      </c>
      <c r="P5">
        <f aca="true" t="shared" si="0" ref="P5:P18">AVERAGE(J5:O5)</f>
        <v>233.16666666666666</v>
      </c>
      <c r="Q5">
        <f aca="true" t="shared" si="1" ref="Q5:Q18">STDEV(J5:O5)/SQRT(6)</f>
        <v>3.156122797216723</v>
      </c>
    </row>
    <row r="6" spans="1:18" ht="15">
      <c r="A6" s="2" t="s">
        <v>7</v>
      </c>
      <c r="B6" s="4">
        <v>223</v>
      </c>
      <c r="C6" s="4">
        <v>237</v>
      </c>
      <c r="D6" s="4">
        <v>82.4</v>
      </c>
      <c r="E6" s="4">
        <v>44.56</v>
      </c>
      <c r="F6" s="4">
        <f aca="true" t="shared" si="2" ref="F6:F17">D6-E6</f>
        <v>37.84</v>
      </c>
      <c r="G6">
        <f>F6/2</f>
        <v>18.92</v>
      </c>
      <c r="J6" s="4">
        <v>234</v>
      </c>
      <c r="K6" s="4">
        <v>224</v>
      </c>
      <c r="L6" s="4">
        <v>240</v>
      </c>
      <c r="M6" s="4">
        <v>250</v>
      </c>
      <c r="N6" s="4">
        <v>223</v>
      </c>
      <c r="O6" s="4">
        <v>237</v>
      </c>
      <c r="P6">
        <f t="shared" si="0"/>
        <v>234.66666666666666</v>
      </c>
      <c r="Q6">
        <f t="shared" si="1"/>
        <v>4.160662340434646</v>
      </c>
      <c r="R6">
        <v>1</v>
      </c>
    </row>
    <row r="7" spans="1:18" ht="15">
      <c r="A7" s="2" t="s">
        <v>8</v>
      </c>
      <c r="B7" s="4">
        <v>230</v>
      </c>
      <c r="C7" s="4">
        <v>236</v>
      </c>
      <c r="D7" s="4">
        <v>97.75</v>
      </c>
      <c r="E7" s="4">
        <v>36.33</v>
      </c>
      <c r="F7" s="4">
        <f t="shared" si="2"/>
        <v>61.42</v>
      </c>
      <c r="G7">
        <f>F7/2/2</f>
        <v>15.355</v>
      </c>
      <c r="J7" s="4">
        <v>235</v>
      </c>
      <c r="K7" s="4">
        <v>225</v>
      </c>
      <c r="L7" s="4">
        <v>233</v>
      </c>
      <c r="M7" s="4">
        <v>249</v>
      </c>
      <c r="N7" s="4">
        <v>230</v>
      </c>
      <c r="O7" s="4">
        <v>236</v>
      </c>
      <c r="P7">
        <f t="shared" si="0"/>
        <v>234.66666666666666</v>
      </c>
      <c r="Q7">
        <f t="shared" si="1"/>
        <v>3.293090409394259</v>
      </c>
      <c r="R7">
        <v>2</v>
      </c>
    </row>
    <row r="8" spans="1:18" ht="15">
      <c r="A8" s="2" t="s">
        <v>10</v>
      </c>
      <c r="B8" s="4">
        <v>229</v>
      </c>
      <c r="C8" s="4">
        <v>235</v>
      </c>
      <c r="D8" s="4">
        <v>107.1</v>
      </c>
      <c r="E8" s="4">
        <v>17.47</v>
      </c>
      <c r="F8" s="4">
        <f t="shared" si="2"/>
        <v>89.63</v>
      </c>
      <c r="G8">
        <f>F8/2/3</f>
        <v>14.938333333333333</v>
      </c>
      <c r="J8" s="4">
        <v>234</v>
      </c>
      <c r="K8" s="4">
        <v>227</v>
      </c>
      <c r="L8" s="4">
        <v>239</v>
      </c>
      <c r="M8" s="4">
        <v>254</v>
      </c>
      <c r="N8" s="4">
        <v>229</v>
      </c>
      <c r="O8" s="4">
        <v>235</v>
      </c>
      <c r="P8">
        <f t="shared" si="0"/>
        <v>236.33333333333334</v>
      </c>
      <c r="Q8">
        <f t="shared" si="1"/>
        <v>3.946869364164183</v>
      </c>
      <c r="R8">
        <v>4</v>
      </c>
    </row>
    <row r="9" spans="1:18" ht="15">
      <c r="A9" s="2" t="s">
        <v>11</v>
      </c>
      <c r="B9" s="4">
        <v>237</v>
      </c>
      <c r="C9" s="4">
        <v>243</v>
      </c>
      <c r="D9" s="4">
        <v>79.94</v>
      </c>
      <c r="E9" s="4">
        <v>16.3</v>
      </c>
      <c r="F9" s="4">
        <f t="shared" si="2"/>
        <v>63.64</v>
      </c>
      <c r="G9">
        <f>F9/2/2</f>
        <v>15.91</v>
      </c>
      <c r="J9" s="6">
        <v>243</v>
      </c>
      <c r="K9" s="6">
        <v>225</v>
      </c>
      <c r="L9" s="6">
        <v>244</v>
      </c>
      <c r="M9" s="6">
        <v>259</v>
      </c>
      <c r="N9" s="6">
        <v>237</v>
      </c>
      <c r="O9" s="6">
        <v>243</v>
      </c>
      <c r="P9" s="6">
        <f t="shared" si="0"/>
        <v>241.83333333333334</v>
      </c>
      <c r="Q9">
        <f t="shared" si="1"/>
        <v>4.50493556496033</v>
      </c>
      <c r="R9">
        <v>7</v>
      </c>
    </row>
    <row r="10" spans="1:18" ht="15">
      <c r="A10" s="2" t="s">
        <v>12</v>
      </c>
      <c r="B10" s="4">
        <v>238</v>
      </c>
      <c r="C10" s="4">
        <v>248</v>
      </c>
      <c r="D10" s="4">
        <v>84.99</v>
      </c>
      <c r="E10" s="4">
        <v>21.43</v>
      </c>
      <c r="F10" s="4">
        <f t="shared" si="2"/>
        <v>63.559999999999995</v>
      </c>
      <c r="G10">
        <f>F10/2/2</f>
        <v>15.889999999999999</v>
      </c>
      <c r="J10" s="6">
        <v>241</v>
      </c>
      <c r="K10" s="6">
        <v>229</v>
      </c>
      <c r="L10" s="6">
        <v>246</v>
      </c>
      <c r="M10" s="6">
        <v>261</v>
      </c>
      <c r="N10" s="6">
        <v>238</v>
      </c>
      <c r="O10" s="6">
        <v>248</v>
      </c>
      <c r="P10" s="6">
        <f t="shared" si="0"/>
        <v>243.83333333333334</v>
      </c>
      <c r="Q10">
        <f t="shared" si="1"/>
        <v>4.392544188103797</v>
      </c>
      <c r="R10">
        <v>9</v>
      </c>
    </row>
    <row r="11" spans="1:18" ht="15">
      <c r="A11" s="2" t="s">
        <v>13</v>
      </c>
      <c r="B11" s="4">
        <v>245</v>
      </c>
      <c r="C11" s="4">
        <v>251</v>
      </c>
      <c r="D11" s="4">
        <v>127.3</v>
      </c>
      <c r="E11" s="4">
        <v>36.6</v>
      </c>
      <c r="F11" s="4">
        <f t="shared" si="2"/>
        <v>90.69999999999999</v>
      </c>
      <c r="G11">
        <f>F11/2/3</f>
        <v>15.116666666666665</v>
      </c>
      <c r="J11" s="6">
        <v>247</v>
      </c>
      <c r="K11" s="6">
        <v>229</v>
      </c>
      <c r="L11" s="6">
        <v>249</v>
      </c>
      <c r="M11" s="6">
        <v>266</v>
      </c>
      <c r="N11" s="6">
        <v>245</v>
      </c>
      <c r="O11" s="6">
        <v>251</v>
      </c>
      <c r="P11" s="6">
        <f t="shared" si="0"/>
        <v>247.83333333333334</v>
      </c>
      <c r="Q11">
        <f t="shared" si="1"/>
        <v>4.847106811742903</v>
      </c>
      <c r="R11">
        <v>11</v>
      </c>
    </row>
    <row r="12" spans="1:18" ht="15">
      <c r="A12" s="2" t="s">
        <v>14</v>
      </c>
      <c r="B12" s="4">
        <v>248</v>
      </c>
      <c r="C12" s="4">
        <v>259</v>
      </c>
      <c r="D12" s="4">
        <v>172.7</v>
      </c>
      <c r="E12" s="4">
        <v>62.56</v>
      </c>
      <c r="F12" s="4">
        <f t="shared" si="2"/>
        <v>110.13999999999999</v>
      </c>
      <c r="G12">
        <f>F12/2/4</f>
        <v>13.767499999999998</v>
      </c>
      <c r="J12" s="6">
        <v>250</v>
      </c>
      <c r="K12" s="6">
        <v>238</v>
      </c>
      <c r="L12" s="6">
        <v>251</v>
      </c>
      <c r="M12" s="6">
        <v>260</v>
      </c>
      <c r="N12" s="6">
        <v>248</v>
      </c>
      <c r="O12" s="6">
        <v>259</v>
      </c>
      <c r="P12" s="6">
        <f t="shared" si="0"/>
        <v>251</v>
      </c>
      <c r="Q12">
        <f t="shared" si="1"/>
        <v>3.286335345030997</v>
      </c>
      <c r="R12">
        <v>14</v>
      </c>
    </row>
    <row r="13" spans="1:18" ht="15">
      <c r="A13" s="2" t="s">
        <v>15</v>
      </c>
      <c r="B13" s="4">
        <v>249</v>
      </c>
      <c r="C13" s="4">
        <v>260</v>
      </c>
      <c r="D13" s="4">
        <v>133.12</v>
      </c>
      <c r="E13" s="4">
        <v>56.02</v>
      </c>
      <c r="F13" s="4">
        <f t="shared" si="2"/>
        <v>77.1</v>
      </c>
      <c r="G13">
        <f>F13/2/3</f>
        <v>12.85</v>
      </c>
      <c r="J13" s="6">
        <v>254</v>
      </c>
      <c r="K13" s="6">
        <v>242</v>
      </c>
      <c r="L13" s="6">
        <v>256</v>
      </c>
      <c r="M13" s="6">
        <v>264</v>
      </c>
      <c r="N13" s="6">
        <v>249</v>
      </c>
      <c r="O13" s="6">
        <v>260</v>
      </c>
      <c r="P13" s="6">
        <f t="shared" si="0"/>
        <v>254.16666666666666</v>
      </c>
      <c r="Q13">
        <f t="shared" si="1"/>
        <v>3.2084956668888376</v>
      </c>
      <c r="R13">
        <v>18</v>
      </c>
    </row>
    <row r="14" spans="1:18" ht="15">
      <c r="A14" s="2" t="s">
        <v>16</v>
      </c>
      <c r="B14" s="4">
        <v>245</v>
      </c>
      <c r="C14" s="4">
        <v>259</v>
      </c>
      <c r="D14" s="4">
        <v>141.2</v>
      </c>
      <c r="E14" s="4">
        <v>48.14</v>
      </c>
      <c r="F14" s="4">
        <f t="shared" si="2"/>
        <v>93.05999999999999</v>
      </c>
      <c r="G14">
        <f>F14/2/3</f>
        <v>15.509999999999998</v>
      </c>
      <c r="J14" s="6">
        <v>254</v>
      </c>
      <c r="K14" s="6">
        <v>247</v>
      </c>
      <c r="L14" s="6">
        <v>263</v>
      </c>
      <c r="M14" s="6">
        <v>274</v>
      </c>
      <c r="N14" s="6">
        <v>245</v>
      </c>
      <c r="O14" s="6">
        <v>259</v>
      </c>
      <c r="P14" s="6">
        <f t="shared" si="0"/>
        <v>257</v>
      </c>
      <c r="Q14">
        <f t="shared" si="1"/>
        <v>4.404543109109048</v>
      </c>
      <c r="R14">
        <v>21</v>
      </c>
    </row>
    <row r="15" spans="1:18" ht="15">
      <c r="A15" s="2" t="s">
        <v>17</v>
      </c>
      <c r="B15" s="4">
        <v>249</v>
      </c>
      <c r="C15" s="4">
        <v>258</v>
      </c>
      <c r="D15" s="4">
        <v>88.95</v>
      </c>
      <c r="E15" s="4">
        <v>67.1</v>
      </c>
      <c r="F15" s="4">
        <f t="shared" si="2"/>
        <v>21.85000000000001</v>
      </c>
      <c r="G15">
        <f>F15/2</f>
        <v>10.925000000000004</v>
      </c>
      <c r="J15" s="6">
        <v>251</v>
      </c>
      <c r="K15" s="6">
        <v>248</v>
      </c>
      <c r="L15" s="6">
        <v>263</v>
      </c>
      <c r="M15" s="6">
        <v>276</v>
      </c>
      <c r="N15" s="6">
        <v>249</v>
      </c>
      <c r="O15" s="6">
        <v>258</v>
      </c>
      <c r="P15" s="6">
        <f t="shared" si="0"/>
        <v>257.5</v>
      </c>
      <c r="Q15">
        <f t="shared" si="1"/>
        <v>4.387482193696061</v>
      </c>
      <c r="R15">
        <v>24</v>
      </c>
    </row>
    <row r="16" spans="1:18" ht="15">
      <c r="A16" s="2" t="s">
        <v>30</v>
      </c>
      <c r="B16" s="4">
        <v>249</v>
      </c>
      <c r="C16" s="4">
        <v>263</v>
      </c>
      <c r="D16" s="4">
        <v>190.85</v>
      </c>
      <c r="E16" s="4">
        <v>81.21</v>
      </c>
      <c r="F16" s="4">
        <f t="shared" si="2"/>
        <v>109.64</v>
      </c>
      <c r="G16">
        <f>F16/2/4</f>
        <v>13.705</v>
      </c>
      <c r="J16" s="6">
        <v>256</v>
      </c>
      <c r="K16" s="6">
        <v>252</v>
      </c>
      <c r="L16" s="6">
        <v>265</v>
      </c>
      <c r="M16" s="6">
        <v>276</v>
      </c>
      <c r="N16" s="6">
        <v>249</v>
      </c>
      <c r="O16" s="6">
        <v>263</v>
      </c>
      <c r="P16" s="6">
        <f t="shared" si="0"/>
        <v>260.1666666666667</v>
      </c>
      <c r="Q16">
        <f t="shared" si="1"/>
        <v>4.044887033170532</v>
      </c>
      <c r="R16">
        <v>25</v>
      </c>
    </row>
    <row r="17" spans="1:18" ht="15">
      <c r="A17" s="2" t="s">
        <v>23</v>
      </c>
      <c r="B17" s="4">
        <v>253</v>
      </c>
      <c r="C17" s="4">
        <v>267</v>
      </c>
      <c r="D17" s="4">
        <v>81.21</v>
      </c>
      <c r="E17" s="4">
        <v>57.21</v>
      </c>
      <c r="F17" s="4">
        <f t="shared" si="2"/>
        <v>23.999999999999993</v>
      </c>
      <c r="G17">
        <f>F17/2</f>
        <v>11.999999999999996</v>
      </c>
      <c r="J17" s="6">
        <v>258</v>
      </c>
      <c r="K17" s="6">
        <v>260</v>
      </c>
      <c r="L17" s="6">
        <v>270</v>
      </c>
      <c r="M17" s="6">
        <v>278</v>
      </c>
      <c r="N17" s="6">
        <v>253</v>
      </c>
      <c r="O17" s="6">
        <v>267</v>
      </c>
      <c r="P17" s="6">
        <f t="shared" si="0"/>
        <v>264.3333333333333</v>
      </c>
      <c r="Q17">
        <f t="shared" si="1"/>
        <v>3.711842908553348</v>
      </c>
      <c r="R17">
        <v>29</v>
      </c>
    </row>
    <row r="18" spans="1:18" ht="15">
      <c r="A18" s="2" t="s">
        <v>55</v>
      </c>
      <c r="J18" s="6">
        <v>263</v>
      </c>
      <c r="K18" s="6">
        <v>256</v>
      </c>
      <c r="L18" s="6">
        <v>265</v>
      </c>
      <c r="M18" s="6">
        <v>274</v>
      </c>
      <c r="N18" s="6">
        <v>255</v>
      </c>
      <c r="O18" s="6">
        <v>260</v>
      </c>
      <c r="P18" s="6">
        <f t="shared" si="0"/>
        <v>262.1666666666667</v>
      </c>
      <c r="Q18">
        <f t="shared" si="1"/>
        <v>2.8450737151160856</v>
      </c>
      <c r="R18">
        <v>30</v>
      </c>
    </row>
    <row r="19" spans="1:8" ht="15">
      <c r="A19" s="1"/>
      <c r="F19" s="4">
        <f>SUM(F6:F18)</f>
        <v>842.5799999999999</v>
      </c>
      <c r="G19" s="7" t="s">
        <v>90</v>
      </c>
      <c r="H19">
        <f>F19*14.11/2</f>
        <v>5944.401899999999</v>
      </c>
    </row>
    <row r="20" spans="2:6" ht="15">
      <c r="B20" t="s">
        <v>27</v>
      </c>
      <c r="E20" s="29" t="s">
        <v>201</v>
      </c>
      <c r="F20" s="29">
        <f>F19/2</f>
        <v>421.28999999999996</v>
      </c>
    </row>
    <row r="21" ht="15">
      <c r="B21" t="s">
        <v>28</v>
      </c>
    </row>
    <row r="22" spans="2:17" ht="15">
      <c r="B22" t="s">
        <v>29</v>
      </c>
      <c r="I22" t="s">
        <v>66</v>
      </c>
      <c r="J22">
        <v>7</v>
      </c>
      <c r="K22">
        <v>8</v>
      </c>
      <c r="L22">
        <v>9</v>
      </c>
      <c r="M22">
        <v>10</v>
      </c>
      <c r="N22">
        <v>11</v>
      </c>
      <c r="O22">
        <v>12</v>
      </c>
      <c r="P22" t="s">
        <v>61</v>
      </c>
      <c r="Q22" t="s">
        <v>62</v>
      </c>
    </row>
    <row r="25" spans="9:18" ht="15">
      <c r="I25">
        <v>1</v>
      </c>
      <c r="J25" s="9">
        <f aca="true" t="shared" si="3" ref="J25:O37">J6*100/J$6</f>
        <v>100</v>
      </c>
      <c r="K25" s="9">
        <f t="shared" si="3"/>
        <v>100</v>
      </c>
      <c r="L25" s="9">
        <f t="shared" si="3"/>
        <v>100</v>
      </c>
      <c r="M25" s="9">
        <f t="shared" si="3"/>
        <v>100</v>
      </c>
      <c r="N25" s="9">
        <f t="shared" si="3"/>
        <v>100</v>
      </c>
      <c r="O25" s="9">
        <f t="shared" si="3"/>
        <v>100</v>
      </c>
      <c r="P25" s="10">
        <f aca="true" t="shared" si="4" ref="P25:P36">AVERAGE(J25:O25)</f>
        <v>100</v>
      </c>
      <c r="Q25" s="9">
        <f aca="true" t="shared" si="5" ref="Q25:Q36">STDEV(J25:O25)/SQRT(6)</f>
        <v>0</v>
      </c>
      <c r="R25">
        <v>1</v>
      </c>
    </row>
    <row r="26" spans="9:18" ht="15">
      <c r="I26">
        <v>2</v>
      </c>
      <c r="J26" s="9">
        <f t="shared" si="3"/>
        <v>100.42735042735043</v>
      </c>
      <c r="K26" s="9">
        <f t="shared" si="3"/>
        <v>100.44642857142857</v>
      </c>
      <c r="L26" s="9">
        <f t="shared" si="3"/>
        <v>97.08333333333333</v>
      </c>
      <c r="M26" s="9">
        <f t="shared" si="3"/>
        <v>99.6</v>
      </c>
      <c r="N26" s="9">
        <f t="shared" si="3"/>
        <v>103.1390134529148</v>
      </c>
      <c r="O26" s="9">
        <f t="shared" si="3"/>
        <v>99.57805907172995</v>
      </c>
      <c r="P26" s="10">
        <f t="shared" si="4"/>
        <v>100.04569747612618</v>
      </c>
      <c r="Q26" s="9">
        <f t="shared" si="5"/>
        <v>0.7972406861622252</v>
      </c>
      <c r="R26">
        <v>2</v>
      </c>
    </row>
    <row r="27" spans="9:18" ht="15">
      <c r="I27">
        <v>4</v>
      </c>
      <c r="J27" s="9">
        <f t="shared" si="3"/>
        <v>100</v>
      </c>
      <c r="K27" s="9">
        <f t="shared" si="3"/>
        <v>101.33928571428571</v>
      </c>
      <c r="L27" s="9">
        <f t="shared" si="3"/>
        <v>99.58333333333333</v>
      </c>
      <c r="M27" s="9">
        <f t="shared" si="3"/>
        <v>101.6</v>
      </c>
      <c r="N27" s="9">
        <f t="shared" si="3"/>
        <v>102.69058295964126</v>
      </c>
      <c r="O27" s="9">
        <f t="shared" si="3"/>
        <v>99.15611814345992</v>
      </c>
      <c r="P27" s="10">
        <f t="shared" si="4"/>
        <v>100.72822002512004</v>
      </c>
      <c r="Q27" s="9">
        <f t="shared" si="5"/>
        <v>0.5566819605542406</v>
      </c>
      <c r="R27">
        <v>4</v>
      </c>
    </row>
    <row r="28" spans="9:18" ht="15">
      <c r="I28">
        <v>7</v>
      </c>
      <c r="J28" s="9">
        <f t="shared" si="3"/>
        <v>103.84615384615384</v>
      </c>
      <c r="K28" s="9">
        <f t="shared" si="3"/>
        <v>100.44642857142857</v>
      </c>
      <c r="L28" s="9">
        <f t="shared" si="3"/>
        <v>101.66666666666667</v>
      </c>
      <c r="M28" s="9">
        <f t="shared" si="3"/>
        <v>103.6</v>
      </c>
      <c r="N28" s="9">
        <f t="shared" si="3"/>
        <v>106.27802690582959</v>
      </c>
      <c r="O28" s="9">
        <f t="shared" si="3"/>
        <v>102.53164556962025</v>
      </c>
      <c r="P28" s="10">
        <f t="shared" si="4"/>
        <v>103.0614869266165</v>
      </c>
      <c r="Q28" s="9">
        <f t="shared" si="5"/>
        <v>0.8229340509195466</v>
      </c>
      <c r="R28">
        <v>7</v>
      </c>
    </row>
    <row r="29" spans="9:18" ht="15">
      <c r="I29">
        <v>9</v>
      </c>
      <c r="J29" s="9">
        <f t="shared" si="3"/>
        <v>102.99145299145299</v>
      </c>
      <c r="K29" s="9">
        <f t="shared" si="3"/>
        <v>102.23214285714286</v>
      </c>
      <c r="L29" s="9">
        <f t="shared" si="3"/>
        <v>102.5</v>
      </c>
      <c r="M29" s="9">
        <f t="shared" si="3"/>
        <v>104.4</v>
      </c>
      <c r="N29" s="9">
        <f t="shared" si="3"/>
        <v>106.72645739910314</v>
      </c>
      <c r="O29" s="9">
        <f t="shared" si="3"/>
        <v>104.64135021097046</v>
      </c>
      <c r="P29" s="10">
        <f t="shared" si="4"/>
        <v>103.91523390977824</v>
      </c>
      <c r="Q29" s="9">
        <f t="shared" si="5"/>
        <v>0.6917194577747867</v>
      </c>
      <c r="R29">
        <v>9</v>
      </c>
    </row>
    <row r="30" spans="9:18" ht="15">
      <c r="I30">
        <v>11</v>
      </c>
      <c r="J30" s="9">
        <f t="shared" si="3"/>
        <v>105.55555555555556</v>
      </c>
      <c r="K30" s="9">
        <f t="shared" si="3"/>
        <v>102.23214285714286</v>
      </c>
      <c r="L30" s="9">
        <f t="shared" si="3"/>
        <v>103.75</v>
      </c>
      <c r="M30" s="9">
        <f t="shared" si="3"/>
        <v>106.4</v>
      </c>
      <c r="N30" s="9">
        <f t="shared" si="3"/>
        <v>109.86547085201794</v>
      </c>
      <c r="O30" s="9">
        <f t="shared" si="3"/>
        <v>105.90717299578058</v>
      </c>
      <c r="P30" s="10">
        <f t="shared" si="4"/>
        <v>105.61839037674947</v>
      </c>
      <c r="Q30" s="9">
        <f t="shared" si="5"/>
        <v>1.0597720611267523</v>
      </c>
      <c r="R30">
        <v>11</v>
      </c>
    </row>
    <row r="31" spans="9:18" ht="15">
      <c r="I31">
        <v>14</v>
      </c>
      <c r="J31" s="9">
        <f t="shared" si="3"/>
        <v>106.83760683760684</v>
      </c>
      <c r="K31" s="9">
        <f t="shared" si="3"/>
        <v>106.25</v>
      </c>
      <c r="L31" s="9">
        <f t="shared" si="3"/>
        <v>104.58333333333333</v>
      </c>
      <c r="M31" s="9">
        <f t="shared" si="3"/>
        <v>104</v>
      </c>
      <c r="N31" s="9">
        <f t="shared" si="3"/>
        <v>111.21076233183857</v>
      </c>
      <c r="O31" s="9">
        <f t="shared" si="3"/>
        <v>109.28270042194093</v>
      </c>
      <c r="P31" s="10">
        <f t="shared" si="4"/>
        <v>107.02740048745329</v>
      </c>
      <c r="Q31" s="9">
        <f t="shared" si="5"/>
        <v>1.130868180179188</v>
      </c>
      <c r="R31">
        <v>14</v>
      </c>
    </row>
    <row r="32" spans="9:18" ht="15">
      <c r="I32">
        <v>18</v>
      </c>
      <c r="J32" s="9">
        <f t="shared" si="3"/>
        <v>108.54700854700855</v>
      </c>
      <c r="K32" s="9">
        <f t="shared" si="3"/>
        <v>108.03571428571429</v>
      </c>
      <c r="L32" s="9">
        <f t="shared" si="3"/>
        <v>106.66666666666667</v>
      </c>
      <c r="M32" s="9">
        <f t="shared" si="3"/>
        <v>105.6</v>
      </c>
      <c r="N32" s="9">
        <f t="shared" si="3"/>
        <v>111.65919282511211</v>
      </c>
      <c r="O32" s="9">
        <f t="shared" si="3"/>
        <v>109.70464135021098</v>
      </c>
      <c r="P32" s="10">
        <f t="shared" si="4"/>
        <v>108.3688706124521</v>
      </c>
      <c r="Q32" s="9">
        <f t="shared" si="5"/>
        <v>0.8816154250446286</v>
      </c>
      <c r="R32">
        <v>18</v>
      </c>
    </row>
    <row r="33" spans="9:18" ht="15">
      <c r="I33">
        <v>21</v>
      </c>
      <c r="J33" s="9">
        <f t="shared" si="3"/>
        <v>108.54700854700855</v>
      </c>
      <c r="K33" s="9">
        <f t="shared" si="3"/>
        <v>110.26785714285714</v>
      </c>
      <c r="L33" s="9">
        <f t="shared" si="3"/>
        <v>109.58333333333333</v>
      </c>
      <c r="M33" s="9">
        <f t="shared" si="3"/>
        <v>109.6</v>
      </c>
      <c r="N33" s="9">
        <f t="shared" si="3"/>
        <v>109.86547085201794</v>
      </c>
      <c r="O33" s="9">
        <f t="shared" si="3"/>
        <v>109.28270042194093</v>
      </c>
      <c r="P33" s="10">
        <f t="shared" si="4"/>
        <v>109.52439504952632</v>
      </c>
      <c r="Q33" s="9">
        <f t="shared" si="5"/>
        <v>0.23748397036480545</v>
      </c>
      <c r="R33">
        <v>21</v>
      </c>
    </row>
    <row r="34" spans="9:18" ht="15">
      <c r="I34">
        <v>24</v>
      </c>
      <c r="J34" s="9">
        <f t="shared" si="3"/>
        <v>107.26495726495726</v>
      </c>
      <c r="K34" s="9">
        <f t="shared" si="3"/>
        <v>110.71428571428571</v>
      </c>
      <c r="L34" s="9">
        <f t="shared" si="3"/>
        <v>109.58333333333333</v>
      </c>
      <c r="M34" s="9">
        <f t="shared" si="3"/>
        <v>110.4</v>
      </c>
      <c r="N34" s="9">
        <f t="shared" si="3"/>
        <v>111.65919282511211</v>
      </c>
      <c r="O34" s="9">
        <f t="shared" si="3"/>
        <v>108.86075949367088</v>
      </c>
      <c r="P34" s="10">
        <f t="shared" si="4"/>
        <v>109.74708810522655</v>
      </c>
      <c r="Q34" s="9">
        <f t="shared" si="5"/>
        <v>0.6322256231839758</v>
      </c>
      <c r="R34">
        <v>24</v>
      </c>
    </row>
    <row r="35" spans="9:18" ht="15">
      <c r="I35">
        <v>25</v>
      </c>
      <c r="J35" s="9">
        <f t="shared" si="3"/>
        <v>109.4017094017094</v>
      </c>
      <c r="K35" s="9">
        <f t="shared" si="3"/>
        <v>112.5</v>
      </c>
      <c r="L35" s="9">
        <f t="shared" si="3"/>
        <v>110.41666666666667</v>
      </c>
      <c r="M35" s="9">
        <f t="shared" si="3"/>
        <v>110.4</v>
      </c>
      <c r="N35" s="9">
        <f t="shared" si="3"/>
        <v>111.65919282511211</v>
      </c>
      <c r="O35" s="9">
        <f t="shared" si="3"/>
        <v>110.9704641350211</v>
      </c>
      <c r="P35" s="10">
        <f t="shared" si="4"/>
        <v>110.89133883808488</v>
      </c>
      <c r="Q35" s="9">
        <f t="shared" si="5"/>
        <v>0.44231868879458336</v>
      </c>
      <c r="R35">
        <v>25</v>
      </c>
    </row>
    <row r="36" spans="9:18" ht="15">
      <c r="I36">
        <v>29</v>
      </c>
      <c r="J36" s="9">
        <f t="shared" si="3"/>
        <v>110.25641025641026</v>
      </c>
      <c r="K36" s="9">
        <f t="shared" si="3"/>
        <v>116.07142857142857</v>
      </c>
      <c r="L36" s="9">
        <f t="shared" si="3"/>
        <v>112.5</v>
      </c>
      <c r="M36" s="9">
        <f t="shared" si="3"/>
        <v>111.2</v>
      </c>
      <c r="N36" s="9">
        <f t="shared" si="3"/>
        <v>113.45291479820628</v>
      </c>
      <c r="O36" s="9">
        <f t="shared" si="3"/>
        <v>112.65822784810126</v>
      </c>
      <c r="P36" s="10">
        <f t="shared" si="4"/>
        <v>112.68983024569104</v>
      </c>
      <c r="Q36" s="9">
        <f t="shared" si="5"/>
        <v>0.8204808856160284</v>
      </c>
      <c r="R36">
        <v>29</v>
      </c>
    </row>
    <row r="37" spans="9:18" ht="15">
      <c r="I37">
        <v>30</v>
      </c>
      <c r="J37" s="9">
        <f t="shared" si="3"/>
        <v>112.3931623931624</v>
      </c>
      <c r="K37" s="9">
        <f t="shared" si="3"/>
        <v>114.28571428571429</v>
      </c>
      <c r="L37" s="9">
        <f t="shared" si="3"/>
        <v>110.41666666666667</v>
      </c>
      <c r="M37" s="9">
        <f t="shared" si="3"/>
        <v>109.6</v>
      </c>
      <c r="N37" s="9">
        <f t="shared" si="3"/>
        <v>114.34977578475336</v>
      </c>
      <c r="O37" s="9">
        <f t="shared" si="3"/>
        <v>109.70464135021098</v>
      </c>
      <c r="P37" s="10">
        <f>AVERAGE(J37:O37)</f>
        <v>111.79166008008461</v>
      </c>
      <c r="Q37" s="9">
        <f>STDEV(J37:O37)/SQRT(6)</f>
        <v>0.8976951105312708</v>
      </c>
      <c r="R37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70" zoomScaleNormal="70" zoomScalePageLayoutView="0" workbookViewId="0" topLeftCell="A1">
      <selection activeCell="K11" sqref="K11"/>
    </sheetView>
  </sheetViews>
  <sheetFormatPr defaultColWidth="11.421875" defaultRowHeight="15"/>
  <cols>
    <col min="2" max="2" width="21.8515625" style="0" customWidth="1"/>
  </cols>
  <sheetData>
    <row r="1" spans="1:2" ht="15">
      <c r="A1" t="s">
        <v>67</v>
      </c>
      <c r="B1" t="s">
        <v>103</v>
      </c>
    </row>
    <row r="2" spans="2:21" ht="15">
      <c r="B2" t="s">
        <v>68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 t="s">
        <v>69</v>
      </c>
      <c r="J2" t="s">
        <v>62</v>
      </c>
      <c r="L2" t="s">
        <v>70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 t="s">
        <v>69</v>
      </c>
      <c r="U2" t="s">
        <v>62</v>
      </c>
    </row>
    <row r="4" spans="2:21" ht="15">
      <c r="B4" t="s">
        <v>71</v>
      </c>
      <c r="C4">
        <v>478</v>
      </c>
      <c r="D4">
        <v>424</v>
      </c>
      <c r="E4">
        <v>438</v>
      </c>
      <c r="F4">
        <v>400</v>
      </c>
      <c r="G4">
        <v>465</v>
      </c>
      <c r="H4">
        <v>415</v>
      </c>
      <c r="I4" s="7">
        <f>AVERAGE(C4:H4)</f>
        <v>436.6666666666667</v>
      </c>
      <c r="J4" s="7">
        <f>STDEV(C4:H4)/SQRT(6)</f>
        <v>12.230199416926029</v>
      </c>
      <c r="N4" s="7">
        <f aca="true" t="shared" si="0" ref="N4:S4">C4*100/C$4</f>
        <v>100</v>
      </c>
      <c r="O4" s="7">
        <f t="shared" si="0"/>
        <v>100</v>
      </c>
      <c r="P4" s="7">
        <f t="shared" si="0"/>
        <v>100</v>
      </c>
      <c r="Q4" s="7">
        <f t="shared" si="0"/>
        <v>100</v>
      </c>
      <c r="R4" s="7">
        <f t="shared" si="0"/>
        <v>100</v>
      </c>
      <c r="S4" s="7">
        <f t="shared" si="0"/>
        <v>100</v>
      </c>
      <c r="T4" s="7">
        <f>AVERAGE(N4:S4)</f>
        <v>100</v>
      </c>
      <c r="U4" s="7">
        <f>STDEV(N4:S4)/SQRT(6)</f>
        <v>0</v>
      </c>
    </row>
    <row r="5" spans="2:21" ht="15">
      <c r="B5" t="s">
        <v>72</v>
      </c>
      <c r="C5">
        <v>13.66</v>
      </c>
      <c r="D5">
        <v>12.72</v>
      </c>
      <c r="E5">
        <v>12.71</v>
      </c>
      <c r="F5">
        <v>12.8</v>
      </c>
      <c r="G5">
        <v>14.59</v>
      </c>
      <c r="H5">
        <v>12.47</v>
      </c>
      <c r="I5" s="7">
        <f aca="true" t="shared" si="1" ref="I5:I21">AVERAGE(C5:H5)</f>
        <v>13.158333333333333</v>
      </c>
      <c r="J5" s="7">
        <f aca="true" t="shared" si="2" ref="J5:J21">STDEV(C5:H5)/SQRT(6)</f>
        <v>0.3314957683658185</v>
      </c>
      <c r="N5" s="7">
        <f aca="true" t="shared" si="3" ref="N5:N21">C5*100/C$4</f>
        <v>2.8577405857740588</v>
      </c>
      <c r="O5" s="7">
        <f aca="true" t="shared" si="4" ref="O5:O21">D5*100/D$4</f>
        <v>3</v>
      </c>
      <c r="P5" s="7">
        <f aca="true" t="shared" si="5" ref="P5:P21">E5*100/E$4</f>
        <v>2.901826484018265</v>
      </c>
      <c r="Q5" s="7">
        <f aca="true" t="shared" si="6" ref="Q5:Q21">F5*100/F$4</f>
        <v>3.2</v>
      </c>
      <c r="R5" s="7">
        <f aca="true" t="shared" si="7" ref="R5:R21">G5*100/G$4</f>
        <v>3.1376344086021506</v>
      </c>
      <c r="S5" s="7">
        <f aca="true" t="shared" si="8" ref="S5:S21">H5*100/H$4</f>
        <v>3.004819277108434</v>
      </c>
      <c r="T5" s="7">
        <f aca="true" t="shared" si="9" ref="T5:T21">AVERAGE(N5:S5)</f>
        <v>3.017003459250485</v>
      </c>
      <c r="U5" s="7">
        <f aca="true" t="shared" si="10" ref="U5:U21">STDEV(N5:S5)/SQRT(6)</f>
        <v>0.05388491758069174</v>
      </c>
    </row>
    <row r="6" spans="2:21" ht="15">
      <c r="B6" t="s">
        <v>73</v>
      </c>
      <c r="C6">
        <v>2.1</v>
      </c>
      <c r="D6">
        <v>2.14</v>
      </c>
      <c r="E6">
        <v>2.11</v>
      </c>
      <c r="F6">
        <v>1.8</v>
      </c>
      <c r="G6">
        <v>2.39</v>
      </c>
      <c r="H6">
        <v>2.08</v>
      </c>
      <c r="I6" s="7">
        <f t="shared" si="1"/>
        <v>2.1033333333333335</v>
      </c>
      <c r="J6" s="7">
        <f t="shared" si="2"/>
        <v>0.07662317607037125</v>
      </c>
      <c r="N6" s="7">
        <f t="shared" si="3"/>
        <v>0.4393305439330544</v>
      </c>
      <c r="O6" s="7">
        <f t="shared" si="4"/>
        <v>0.5047169811320755</v>
      </c>
      <c r="P6" s="7">
        <f t="shared" si="5"/>
        <v>0.4817351598173516</v>
      </c>
      <c r="Q6" s="7">
        <f t="shared" si="6"/>
        <v>0.45</v>
      </c>
      <c r="R6" s="7">
        <f t="shared" si="7"/>
        <v>0.513978494623656</v>
      </c>
      <c r="S6" s="7">
        <f t="shared" si="8"/>
        <v>0.5012048192771085</v>
      </c>
      <c r="T6" s="7">
        <f t="shared" si="9"/>
        <v>0.4818276664638743</v>
      </c>
      <c r="U6" s="7">
        <f t="shared" si="10"/>
        <v>0.012585818556218969</v>
      </c>
    </row>
    <row r="7" spans="2:21" ht="15">
      <c r="B7" t="s">
        <v>74</v>
      </c>
      <c r="C7">
        <v>7.32</v>
      </c>
      <c r="D7">
        <v>5.01</v>
      </c>
      <c r="E7">
        <v>6.64</v>
      </c>
      <c r="F7">
        <v>5.74</v>
      </c>
      <c r="G7">
        <v>7.59</v>
      </c>
      <c r="H7">
        <v>5.38</v>
      </c>
      <c r="I7" s="7">
        <f t="shared" si="1"/>
        <v>6.28</v>
      </c>
      <c r="J7" s="7">
        <f t="shared" si="2"/>
        <v>0.43365885209459254</v>
      </c>
      <c r="N7" s="7">
        <f t="shared" si="3"/>
        <v>1.5313807531380754</v>
      </c>
      <c r="O7" s="7">
        <f t="shared" si="4"/>
        <v>1.1816037735849056</v>
      </c>
      <c r="P7" s="7">
        <f t="shared" si="5"/>
        <v>1.5159817351598173</v>
      </c>
      <c r="Q7" s="7">
        <f t="shared" si="6"/>
        <v>1.435</v>
      </c>
      <c r="R7" s="7">
        <f t="shared" si="7"/>
        <v>1.632258064516129</v>
      </c>
      <c r="S7" s="7">
        <f t="shared" si="8"/>
        <v>1.2963855421686747</v>
      </c>
      <c r="T7" s="7">
        <f t="shared" si="9"/>
        <v>1.4321016447612671</v>
      </c>
      <c r="U7" s="7">
        <f t="shared" si="10"/>
        <v>0.06785554453502567</v>
      </c>
    </row>
    <row r="8" spans="2:21" ht="15">
      <c r="B8" t="s">
        <v>75</v>
      </c>
      <c r="C8">
        <v>10.31</v>
      </c>
      <c r="D8">
        <v>5.48</v>
      </c>
      <c r="E8">
        <v>7.32</v>
      </c>
      <c r="F8">
        <v>7.41</v>
      </c>
      <c r="G8">
        <v>6.73</v>
      </c>
      <c r="H8">
        <v>7.59</v>
      </c>
      <c r="I8" s="7">
        <f t="shared" si="1"/>
        <v>7.473333333333334</v>
      </c>
      <c r="J8" s="7">
        <f t="shared" si="2"/>
        <v>0.6484271568786866</v>
      </c>
      <c r="N8" s="7">
        <f t="shared" si="3"/>
        <v>2.1569037656903767</v>
      </c>
      <c r="O8" s="7">
        <f t="shared" si="4"/>
        <v>1.2924528301886793</v>
      </c>
      <c r="P8" s="7">
        <f t="shared" si="5"/>
        <v>1.6712328767123288</v>
      </c>
      <c r="Q8" s="7">
        <f t="shared" si="6"/>
        <v>1.8525</v>
      </c>
      <c r="R8" s="7">
        <f t="shared" si="7"/>
        <v>1.4473118279569892</v>
      </c>
      <c r="S8" s="7">
        <f t="shared" si="8"/>
        <v>1.8289156626506025</v>
      </c>
      <c r="T8" s="7">
        <f t="shared" si="9"/>
        <v>1.708219493866496</v>
      </c>
      <c r="U8" s="7">
        <f t="shared" si="10"/>
        <v>0.12635990186712248</v>
      </c>
    </row>
    <row r="9" spans="2:21" ht="15">
      <c r="B9" t="s">
        <v>76</v>
      </c>
      <c r="C9">
        <v>6.93</v>
      </c>
      <c r="D9">
        <v>4.5</v>
      </c>
      <c r="E9">
        <v>5.8</v>
      </c>
      <c r="F9">
        <v>5.18</v>
      </c>
      <c r="G9">
        <v>6.38</v>
      </c>
      <c r="H9">
        <v>5.69</v>
      </c>
      <c r="I9" s="7">
        <f t="shared" si="1"/>
        <v>5.746666666666666</v>
      </c>
      <c r="J9" s="7">
        <f t="shared" si="2"/>
        <v>0.35036806044184327</v>
      </c>
      <c r="N9" s="7">
        <f t="shared" si="3"/>
        <v>1.4497907949790796</v>
      </c>
      <c r="O9" s="7">
        <f t="shared" si="4"/>
        <v>1.0613207547169812</v>
      </c>
      <c r="P9" s="7">
        <f t="shared" si="5"/>
        <v>1.3242009132420092</v>
      </c>
      <c r="Q9" s="7">
        <f t="shared" si="6"/>
        <v>1.295</v>
      </c>
      <c r="R9" s="7">
        <f t="shared" si="7"/>
        <v>1.3720430107526882</v>
      </c>
      <c r="S9" s="7">
        <f t="shared" si="8"/>
        <v>1.3710843373493975</v>
      </c>
      <c r="T9" s="7">
        <f t="shared" si="9"/>
        <v>1.3122399685066926</v>
      </c>
      <c r="U9" s="7">
        <f t="shared" si="10"/>
        <v>0.05457717045051265</v>
      </c>
    </row>
    <row r="10" spans="2:21" ht="15">
      <c r="B10" t="s">
        <v>77</v>
      </c>
      <c r="C10">
        <f aca="true" t="shared" si="11" ref="C10:H10">SUM(C7:C9)</f>
        <v>24.560000000000002</v>
      </c>
      <c r="D10">
        <f t="shared" si="11"/>
        <v>14.99</v>
      </c>
      <c r="E10">
        <f t="shared" si="11"/>
        <v>19.76</v>
      </c>
      <c r="F10">
        <f t="shared" si="11"/>
        <v>18.33</v>
      </c>
      <c r="G10">
        <f t="shared" si="11"/>
        <v>20.7</v>
      </c>
      <c r="H10">
        <f t="shared" si="11"/>
        <v>18.66</v>
      </c>
      <c r="I10" s="7">
        <f t="shared" si="1"/>
        <v>19.5</v>
      </c>
      <c r="J10" s="7">
        <f t="shared" si="2"/>
        <v>1.2848579688043391</v>
      </c>
      <c r="N10" s="7">
        <f t="shared" si="3"/>
        <v>5.138075313807532</v>
      </c>
      <c r="O10" s="7">
        <f t="shared" si="4"/>
        <v>3.535377358490566</v>
      </c>
      <c r="P10" s="7">
        <f t="shared" si="5"/>
        <v>4.511415525114156</v>
      </c>
      <c r="Q10" s="7">
        <f t="shared" si="6"/>
        <v>4.5825</v>
      </c>
      <c r="R10" s="7">
        <f t="shared" si="7"/>
        <v>4.451612903225806</v>
      </c>
      <c r="S10" s="7">
        <f t="shared" si="8"/>
        <v>4.4963855421686745</v>
      </c>
      <c r="T10" s="7">
        <f t="shared" si="9"/>
        <v>4.452561107134456</v>
      </c>
      <c r="U10" s="7">
        <f t="shared" si="10"/>
        <v>0.21082577284878562</v>
      </c>
    </row>
    <row r="11" spans="2:21" ht="15">
      <c r="B11" t="s">
        <v>78</v>
      </c>
      <c r="C11">
        <v>0.67</v>
      </c>
      <c r="D11">
        <v>0.4</v>
      </c>
      <c r="E11">
        <v>0.54</v>
      </c>
      <c r="F11">
        <v>0.43</v>
      </c>
      <c r="G11">
        <v>0.68</v>
      </c>
      <c r="H11">
        <v>0.66</v>
      </c>
      <c r="I11" s="7">
        <f t="shared" si="1"/>
        <v>0.5633333333333334</v>
      </c>
      <c r="J11" s="7">
        <f t="shared" si="2"/>
        <v>0.05142416206847169</v>
      </c>
      <c r="N11" s="7">
        <f t="shared" si="3"/>
        <v>0.1401673640167364</v>
      </c>
      <c r="O11" s="7">
        <f t="shared" si="4"/>
        <v>0.09433962264150944</v>
      </c>
      <c r="P11" s="7">
        <f t="shared" si="5"/>
        <v>0.1232876712328767</v>
      </c>
      <c r="Q11" s="7">
        <f t="shared" si="6"/>
        <v>0.1075</v>
      </c>
      <c r="R11" s="7">
        <f t="shared" si="7"/>
        <v>0.14623655913978495</v>
      </c>
      <c r="S11" s="7">
        <f t="shared" si="8"/>
        <v>0.15903614457831325</v>
      </c>
      <c r="T11" s="7">
        <f t="shared" si="9"/>
        <v>0.1284278936015368</v>
      </c>
      <c r="U11" s="7">
        <f t="shared" si="10"/>
        <v>0.010030349936369165</v>
      </c>
    </row>
    <row r="12" spans="2:21" ht="15">
      <c r="B12" t="s">
        <v>79</v>
      </c>
      <c r="C12">
        <v>34.13</v>
      </c>
      <c r="D12">
        <v>33.06</v>
      </c>
      <c r="E12">
        <v>28.57</v>
      </c>
      <c r="F12">
        <v>24.66</v>
      </c>
      <c r="G12">
        <v>32.84</v>
      </c>
      <c r="H12">
        <v>28.25</v>
      </c>
      <c r="I12" s="7">
        <f t="shared" si="1"/>
        <v>30.251666666666665</v>
      </c>
      <c r="J12" s="7">
        <f t="shared" si="2"/>
        <v>1.5025432143905817</v>
      </c>
      <c r="N12" s="7">
        <f t="shared" si="3"/>
        <v>7.140167364016738</v>
      </c>
      <c r="O12" s="7">
        <f t="shared" si="4"/>
        <v>7.797169811320755</v>
      </c>
      <c r="P12" s="7">
        <f t="shared" si="5"/>
        <v>6.5228310502283104</v>
      </c>
      <c r="Q12" s="7">
        <f t="shared" si="6"/>
        <v>6.165</v>
      </c>
      <c r="R12" s="7">
        <f t="shared" si="7"/>
        <v>7.0623655913978505</v>
      </c>
      <c r="S12" s="7">
        <f t="shared" si="8"/>
        <v>6.807228915662651</v>
      </c>
      <c r="T12" s="7">
        <f t="shared" si="9"/>
        <v>6.91579378877105</v>
      </c>
      <c r="U12" s="7">
        <f t="shared" si="10"/>
        <v>0.22938670744200942</v>
      </c>
    </row>
    <row r="13" spans="2:21" ht="15">
      <c r="B13" t="s">
        <v>80</v>
      </c>
      <c r="C13">
        <v>1.26</v>
      </c>
      <c r="D13">
        <v>2.12</v>
      </c>
      <c r="E13">
        <v>0.93</v>
      </c>
      <c r="F13">
        <v>0.7</v>
      </c>
      <c r="G13">
        <v>1.36</v>
      </c>
      <c r="H13">
        <v>0.89</v>
      </c>
      <c r="I13" s="7">
        <f t="shared" si="1"/>
        <v>1.21</v>
      </c>
      <c r="J13" s="7">
        <f t="shared" si="2"/>
        <v>0.20768565991260307</v>
      </c>
      <c r="N13" s="7">
        <f t="shared" si="3"/>
        <v>0.26359832635983266</v>
      </c>
      <c r="O13" s="7">
        <f t="shared" si="4"/>
        <v>0.5</v>
      </c>
      <c r="P13" s="7">
        <f t="shared" si="5"/>
        <v>0.21232876712328766</v>
      </c>
      <c r="Q13" s="7">
        <f t="shared" si="6"/>
        <v>0.175</v>
      </c>
      <c r="R13" s="7">
        <f t="shared" si="7"/>
        <v>0.2924731182795699</v>
      </c>
      <c r="S13" s="7">
        <f t="shared" si="8"/>
        <v>0.21445783132530122</v>
      </c>
      <c r="T13" s="7">
        <f t="shared" si="9"/>
        <v>0.2763096738479986</v>
      </c>
      <c r="U13" s="7">
        <f t="shared" si="10"/>
        <v>0.04783410713734247</v>
      </c>
    </row>
    <row r="14" spans="2:21" ht="15">
      <c r="B14" t="s">
        <v>81</v>
      </c>
      <c r="C14">
        <v>0.85</v>
      </c>
      <c r="D14">
        <v>0.88</v>
      </c>
      <c r="E14">
        <v>1.08</v>
      </c>
      <c r="F14">
        <v>0.87</v>
      </c>
      <c r="G14">
        <v>0.81</v>
      </c>
      <c r="H14">
        <v>0.89</v>
      </c>
      <c r="I14" s="7">
        <f t="shared" si="1"/>
        <v>0.8966666666666666</v>
      </c>
      <c r="J14" s="7">
        <f t="shared" si="2"/>
        <v>0.038441875315569335</v>
      </c>
      <c r="N14" s="7">
        <f t="shared" si="3"/>
        <v>0.17782426778242677</v>
      </c>
      <c r="O14" s="7">
        <f t="shared" si="4"/>
        <v>0.20754716981132076</v>
      </c>
      <c r="P14" s="7">
        <f t="shared" si="5"/>
        <v>0.2465753424657534</v>
      </c>
      <c r="Q14" s="7">
        <f t="shared" si="6"/>
        <v>0.2175</v>
      </c>
      <c r="R14" s="7">
        <f t="shared" si="7"/>
        <v>0.17419354838709677</v>
      </c>
      <c r="S14" s="7">
        <f t="shared" si="8"/>
        <v>0.21445783132530122</v>
      </c>
      <c r="T14" s="7">
        <f t="shared" si="9"/>
        <v>0.2063496932953165</v>
      </c>
      <c r="U14" s="7">
        <f t="shared" si="10"/>
        <v>0.011041324798472696</v>
      </c>
    </row>
    <row r="15" spans="2:21" ht="15">
      <c r="B15" t="s">
        <v>82</v>
      </c>
      <c r="C15">
        <v>0.97</v>
      </c>
      <c r="D15">
        <v>1.2</v>
      </c>
      <c r="E15">
        <v>1.3</v>
      </c>
      <c r="F15">
        <v>1.26</v>
      </c>
      <c r="G15">
        <v>0.91</v>
      </c>
      <c r="H15">
        <v>1.22</v>
      </c>
      <c r="I15" s="7">
        <f t="shared" si="1"/>
        <v>1.1433333333333333</v>
      </c>
      <c r="J15" s="7">
        <f t="shared" si="2"/>
        <v>0.06626545941220932</v>
      </c>
      <c r="N15" s="7">
        <f t="shared" si="3"/>
        <v>0.20292887029288703</v>
      </c>
      <c r="O15" s="7">
        <f t="shared" si="4"/>
        <v>0.2830188679245283</v>
      </c>
      <c r="P15" s="7">
        <f t="shared" si="5"/>
        <v>0.2968036529680365</v>
      </c>
      <c r="Q15" s="7">
        <f t="shared" si="6"/>
        <v>0.315</v>
      </c>
      <c r="R15" s="7">
        <f t="shared" si="7"/>
        <v>0.1956989247311828</v>
      </c>
      <c r="S15" s="7">
        <f t="shared" si="8"/>
        <v>0.29397590361445786</v>
      </c>
      <c r="T15" s="7">
        <f t="shared" si="9"/>
        <v>0.2645710365885154</v>
      </c>
      <c r="U15" s="7">
        <f t="shared" si="10"/>
        <v>0.021079306639884523</v>
      </c>
    </row>
    <row r="16" spans="2:21" ht="15">
      <c r="B16" t="s">
        <v>83</v>
      </c>
      <c r="C16">
        <f aca="true" t="shared" si="12" ref="C16:H16">SUM(C13:C15)</f>
        <v>3.08</v>
      </c>
      <c r="D16">
        <f t="shared" si="12"/>
        <v>4.2</v>
      </c>
      <c r="E16">
        <f t="shared" si="12"/>
        <v>3.3100000000000005</v>
      </c>
      <c r="F16">
        <f t="shared" si="12"/>
        <v>2.83</v>
      </c>
      <c r="G16">
        <f t="shared" si="12"/>
        <v>3.08</v>
      </c>
      <c r="H16">
        <f t="shared" si="12"/>
        <v>3</v>
      </c>
      <c r="I16" s="7">
        <f t="shared" si="1"/>
        <v>3.25</v>
      </c>
      <c r="J16" s="7">
        <f t="shared" si="2"/>
        <v>0.2002331973807882</v>
      </c>
      <c r="N16" s="7">
        <f t="shared" si="3"/>
        <v>0.6443514644351465</v>
      </c>
      <c r="O16" s="7">
        <f t="shared" si="4"/>
        <v>0.9905660377358491</v>
      </c>
      <c r="P16" s="7">
        <f t="shared" si="5"/>
        <v>0.7557077625570777</v>
      </c>
      <c r="Q16" s="7">
        <f t="shared" si="6"/>
        <v>0.7075</v>
      </c>
      <c r="R16" s="7">
        <f t="shared" si="7"/>
        <v>0.6623655913978495</v>
      </c>
      <c r="S16" s="7">
        <f t="shared" si="8"/>
        <v>0.7228915662650602</v>
      </c>
      <c r="T16" s="7">
        <f t="shared" si="9"/>
        <v>0.7472304037318306</v>
      </c>
      <c r="U16" s="7">
        <f t="shared" si="10"/>
        <v>0.0513942580781194</v>
      </c>
    </row>
    <row r="17" spans="2:21" ht="15">
      <c r="B17" t="s">
        <v>84</v>
      </c>
      <c r="C17">
        <v>1.57</v>
      </c>
      <c r="D17">
        <v>1.51</v>
      </c>
      <c r="E17">
        <v>1.47</v>
      </c>
      <c r="F17">
        <v>1.26</v>
      </c>
      <c r="G17">
        <v>1.57</v>
      </c>
      <c r="H17">
        <v>1.33</v>
      </c>
      <c r="I17" s="7">
        <f t="shared" si="1"/>
        <v>1.4516666666666669</v>
      </c>
      <c r="J17" s="7">
        <f t="shared" si="2"/>
        <v>0.05268881390875213</v>
      </c>
      <c r="N17" s="7">
        <f t="shared" si="3"/>
        <v>0.3284518828451883</v>
      </c>
      <c r="O17" s="7">
        <f t="shared" si="4"/>
        <v>0.3561320754716981</v>
      </c>
      <c r="P17" s="7">
        <f t="shared" si="5"/>
        <v>0.3356164383561644</v>
      </c>
      <c r="Q17" s="7">
        <f t="shared" si="6"/>
        <v>0.315</v>
      </c>
      <c r="R17" s="7">
        <f t="shared" si="7"/>
        <v>0.33763440860215055</v>
      </c>
      <c r="S17" s="7">
        <f t="shared" si="8"/>
        <v>0.3204819277108434</v>
      </c>
      <c r="T17" s="7">
        <f t="shared" si="9"/>
        <v>0.3322194554976741</v>
      </c>
      <c r="U17" s="7">
        <f t="shared" si="10"/>
        <v>0.005947403953438872</v>
      </c>
    </row>
    <row r="18" spans="2:21" ht="15">
      <c r="B18" t="s">
        <v>85</v>
      </c>
      <c r="C18">
        <v>0.94</v>
      </c>
      <c r="D18">
        <v>1.13</v>
      </c>
      <c r="E18">
        <v>0.96</v>
      </c>
      <c r="F18">
        <v>0.72</v>
      </c>
      <c r="G18">
        <v>1.06</v>
      </c>
      <c r="H18">
        <v>1.1</v>
      </c>
      <c r="I18" s="7">
        <f t="shared" si="1"/>
        <v>0.985</v>
      </c>
      <c r="J18" s="7">
        <f t="shared" si="2"/>
        <v>0.06130524719249844</v>
      </c>
      <c r="N18" s="7">
        <f t="shared" si="3"/>
        <v>0.19665271966527198</v>
      </c>
      <c r="O18" s="7">
        <f t="shared" si="4"/>
        <v>0.2665094339622641</v>
      </c>
      <c r="P18" s="7">
        <f t="shared" si="5"/>
        <v>0.2191780821917808</v>
      </c>
      <c r="Q18" s="7">
        <f t="shared" si="6"/>
        <v>0.18</v>
      </c>
      <c r="R18" s="7">
        <f t="shared" si="7"/>
        <v>0.22795698924731184</v>
      </c>
      <c r="S18" s="7">
        <f t="shared" si="8"/>
        <v>0.26506024096385544</v>
      </c>
      <c r="T18" s="7">
        <f t="shared" si="9"/>
        <v>0.2258929110050807</v>
      </c>
      <c r="U18" s="7">
        <f t="shared" si="10"/>
        <v>0.014369271714694777</v>
      </c>
    </row>
    <row r="19" spans="2:21" ht="15">
      <c r="B19" t="s">
        <v>86</v>
      </c>
      <c r="C19">
        <v>0.94</v>
      </c>
      <c r="D19">
        <v>1.78</v>
      </c>
      <c r="E19">
        <v>2.13</v>
      </c>
      <c r="F19">
        <v>1.61</v>
      </c>
      <c r="G19">
        <v>2.01</v>
      </c>
      <c r="H19">
        <v>1.86</v>
      </c>
      <c r="I19" s="7">
        <f t="shared" si="1"/>
        <v>1.7216666666666665</v>
      </c>
      <c r="J19" s="7">
        <f t="shared" si="2"/>
        <v>0.17280850030533196</v>
      </c>
      <c r="N19" s="7">
        <f t="shared" si="3"/>
        <v>0.19665271966527198</v>
      </c>
      <c r="O19" s="7">
        <f t="shared" si="4"/>
        <v>0.419811320754717</v>
      </c>
      <c r="P19" s="7">
        <f t="shared" si="5"/>
        <v>0.4863013698630137</v>
      </c>
      <c r="Q19" s="7">
        <f t="shared" si="6"/>
        <v>0.4025</v>
      </c>
      <c r="R19" s="7">
        <f t="shared" si="7"/>
        <v>0.43225806451612897</v>
      </c>
      <c r="S19" s="7">
        <f t="shared" si="8"/>
        <v>0.44819277108433736</v>
      </c>
      <c r="T19" s="7">
        <f t="shared" si="9"/>
        <v>0.39761937431391153</v>
      </c>
      <c r="U19" s="7">
        <f t="shared" si="10"/>
        <v>0.04184332002800446</v>
      </c>
    </row>
    <row r="20" spans="2:21" ht="15">
      <c r="B20" t="s">
        <v>87</v>
      </c>
      <c r="C20">
        <f aca="true" t="shared" si="13" ref="C20:H20">C12-(C16+C17+C18+C19)</f>
        <v>27.6</v>
      </c>
      <c r="D20">
        <f t="shared" si="13"/>
        <v>24.440000000000005</v>
      </c>
      <c r="E20">
        <f t="shared" si="13"/>
        <v>20.7</v>
      </c>
      <c r="F20">
        <f t="shared" si="13"/>
        <v>18.240000000000002</v>
      </c>
      <c r="G20">
        <f t="shared" si="13"/>
        <v>25.120000000000005</v>
      </c>
      <c r="H20">
        <f t="shared" si="13"/>
        <v>20.96</v>
      </c>
      <c r="I20" s="7">
        <f t="shared" si="1"/>
        <v>22.843333333333337</v>
      </c>
      <c r="J20" s="7">
        <f t="shared" si="2"/>
        <v>1.4105546584391622</v>
      </c>
      <c r="N20" s="7">
        <f t="shared" si="3"/>
        <v>5.7740585774058575</v>
      </c>
      <c r="O20" s="7">
        <f t="shared" si="4"/>
        <v>5.764150943396228</v>
      </c>
      <c r="P20" s="7">
        <f t="shared" si="5"/>
        <v>4.726027397260274</v>
      </c>
      <c r="Q20" s="7">
        <f t="shared" si="6"/>
        <v>4.5600000000000005</v>
      </c>
      <c r="R20" s="7">
        <f t="shared" si="7"/>
        <v>5.40215053763441</v>
      </c>
      <c r="S20" s="7">
        <f t="shared" si="8"/>
        <v>5.050602409638554</v>
      </c>
      <c r="T20" s="7">
        <f t="shared" si="9"/>
        <v>5.212831644222554</v>
      </c>
      <c r="U20" s="7">
        <f t="shared" si="10"/>
        <v>0.21168027295010453</v>
      </c>
    </row>
    <row r="21" spans="2:21" ht="15">
      <c r="B21" t="s">
        <v>88</v>
      </c>
      <c r="C21">
        <f aca="true" t="shared" si="14" ref="C21:H21">C4-C20</f>
        <v>450.4</v>
      </c>
      <c r="D21">
        <f t="shared" si="14"/>
        <v>399.56</v>
      </c>
      <c r="E21">
        <f t="shared" si="14"/>
        <v>417.3</v>
      </c>
      <c r="F21">
        <f t="shared" si="14"/>
        <v>381.76</v>
      </c>
      <c r="G21">
        <f t="shared" si="14"/>
        <v>439.88</v>
      </c>
      <c r="H21">
        <f t="shared" si="14"/>
        <v>394.04</v>
      </c>
      <c r="I21" s="7">
        <f t="shared" si="1"/>
        <v>413.8233333333333</v>
      </c>
      <c r="J21" s="7">
        <f t="shared" si="2"/>
        <v>11.03293544096241</v>
      </c>
      <c r="N21" s="7">
        <f t="shared" si="3"/>
        <v>94.22594142259415</v>
      </c>
      <c r="O21" s="7">
        <f t="shared" si="4"/>
        <v>94.23584905660377</v>
      </c>
      <c r="P21" s="7">
        <f t="shared" si="5"/>
        <v>95.27397260273973</v>
      </c>
      <c r="Q21" s="7">
        <f t="shared" si="6"/>
        <v>95.44</v>
      </c>
      <c r="R21" s="7">
        <f t="shared" si="7"/>
        <v>94.59784946236559</v>
      </c>
      <c r="S21" s="7">
        <f t="shared" si="8"/>
        <v>94.94939759036144</v>
      </c>
      <c r="T21" s="7">
        <f t="shared" si="9"/>
        <v>94.78716835577744</v>
      </c>
      <c r="U21" s="7">
        <f t="shared" si="10"/>
        <v>0.21168027295010475</v>
      </c>
    </row>
    <row r="22" spans="9:21" ht="15">
      <c r="I22" s="7"/>
      <c r="J22" s="7"/>
      <c r="N22" s="7"/>
      <c r="O22" s="7"/>
      <c r="P22" s="7"/>
      <c r="Q22" s="7"/>
      <c r="R22" s="7"/>
      <c r="S22" s="7"/>
      <c r="T22" s="7"/>
      <c r="U22" s="7"/>
    </row>
    <row r="23" spans="9:21" ht="15">
      <c r="I23" s="7"/>
      <c r="J23" s="7"/>
      <c r="N23" s="7"/>
      <c r="O23" s="7"/>
      <c r="P23" s="7"/>
      <c r="Q23" s="7"/>
      <c r="R23" s="7"/>
      <c r="S23" s="7"/>
      <c r="T23" s="7"/>
      <c r="U23" s="7"/>
    </row>
    <row r="24" spans="1:21" ht="15">
      <c r="A24" t="s">
        <v>89</v>
      </c>
      <c r="I24" s="7"/>
      <c r="J24" s="7"/>
      <c r="N24" s="7"/>
      <c r="O24" s="7"/>
      <c r="P24" s="7"/>
      <c r="Q24" s="7"/>
      <c r="R24" s="7"/>
      <c r="S24" s="7"/>
      <c r="T24" s="7"/>
      <c r="U24" s="7"/>
    </row>
    <row r="25" spans="2:21" ht="15">
      <c r="B25" t="s">
        <v>68</v>
      </c>
      <c r="C25">
        <v>1</v>
      </c>
      <c r="D25">
        <v>2</v>
      </c>
      <c r="E25">
        <v>3</v>
      </c>
      <c r="F25">
        <v>4</v>
      </c>
      <c r="G25">
        <v>5</v>
      </c>
      <c r="H25">
        <v>6</v>
      </c>
      <c r="I25" s="7" t="s">
        <v>69</v>
      </c>
      <c r="J25" s="7" t="s">
        <v>62</v>
      </c>
      <c r="L25" t="s">
        <v>70</v>
      </c>
      <c r="N25" s="7">
        <v>1</v>
      </c>
      <c r="O25" s="7">
        <v>2</v>
      </c>
      <c r="P25" s="7">
        <v>3</v>
      </c>
      <c r="Q25" s="7">
        <v>4</v>
      </c>
      <c r="R25" s="7">
        <v>5</v>
      </c>
      <c r="S25" s="7">
        <v>6</v>
      </c>
      <c r="T25" s="7" t="s">
        <v>69</v>
      </c>
      <c r="U25" s="7" t="s">
        <v>62</v>
      </c>
    </row>
    <row r="26" spans="9:21" ht="15">
      <c r="I26" s="7"/>
      <c r="J26" s="7"/>
      <c r="N26" s="7"/>
      <c r="O26" s="7"/>
      <c r="P26" s="7"/>
      <c r="Q26" s="7"/>
      <c r="R26" s="7"/>
      <c r="S26" s="7"/>
      <c r="T26" s="7"/>
      <c r="U26" s="7"/>
    </row>
    <row r="27" spans="2:21" ht="15">
      <c r="B27" t="s">
        <v>71</v>
      </c>
      <c r="C27">
        <v>263</v>
      </c>
      <c r="D27">
        <v>256</v>
      </c>
      <c r="E27">
        <v>265</v>
      </c>
      <c r="F27">
        <v>274</v>
      </c>
      <c r="G27">
        <v>255</v>
      </c>
      <c r="H27">
        <v>260</v>
      </c>
      <c r="I27" s="7">
        <f>AVERAGE(C27:H27)</f>
        <v>262.1666666666667</v>
      </c>
      <c r="J27" s="7">
        <f>STDEV(C27:H27)/SQRT(6)</f>
        <v>2.8450737151160856</v>
      </c>
      <c r="N27" s="7">
        <f aca="true" t="shared" si="15" ref="N27:S27">C27*100/C$27</f>
        <v>100</v>
      </c>
      <c r="O27" s="7">
        <f t="shared" si="15"/>
        <v>100</v>
      </c>
      <c r="P27" s="7">
        <f t="shared" si="15"/>
        <v>100</v>
      </c>
      <c r="Q27" s="7">
        <f t="shared" si="15"/>
        <v>100</v>
      </c>
      <c r="R27" s="7">
        <f t="shared" si="15"/>
        <v>100</v>
      </c>
      <c r="S27" s="7">
        <f t="shared" si="15"/>
        <v>100</v>
      </c>
      <c r="T27" s="7">
        <f>AVERAGE(N27:S27)</f>
        <v>100</v>
      </c>
      <c r="U27" s="7">
        <f>STDEV(N27:S27)/SQRT(6)</f>
        <v>0</v>
      </c>
    </row>
    <row r="28" spans="2:21" ht="15">
      <c r="B28" t="s">
        <v>72</v>
      </c>
      <c r="C28">
        <v>8.04</v>
      </c>
      <c r="D28">
        <v>8.1</v>
      </c>
      <c r="E28">
        <v>7.5</v>
      </c>
      <c r="F28">
        <v>8.81</v>
      </c>
      <c r="G28">
        <v>8.52</v>
      </c>
      <c r="H28">
        <v>7.85</v>
      </c>
      <c r="I28" s="7">
        <f aca="true" t="shared" si="16" ref="I28:I44">AVERAGE(C28:H28)</f>
        <v>8.136666666666667</v>
      </c>
      <c r="J28" s="7">
        <f aca="true" t="shared" si="17" ref="J28:J44">STDEV(C28:H28)/SQRT(6)</f>
        <v>0.19135772202285908</v>
      </c>
      <c r="N28" s="7">
        <f aca="true" t="shared" si="18" ref="N28:N44">C28*100/C$27</f>
        <v>3.057034220532319</v>
      </c>
      <c r="O28" s="7">
        <f aca="true" t="shared" si="19" ref="O28:O44">D28*100/D$27</f>
        <v>3.1640625</v>
      </c>
      <c r="P28" s="7">
        <f aca="true" t="shared" si="20" ref="P28:P44">E28*100/E$27</f>
        <v>2.830188679245283</v>
      </c>
      <c r="Q28" s="7">
        <f aca="true" t="shared" si="21" ref="Q28:Q44">F28*100/F$27</f>
        <v>3.2153284671532845</v>
      </c>
      <c r="R28" s="7">
        <f aca="true" t="shared" si="22" ref="R28:R44">G28*100/G$27</f>
        <v>3.3411764705882354</v>
      </c>
      <c r="S28" s="7">
        <f aca="true" t="shared" si="23" ref="S28:S44">H28*100/H$27</f>
        <v>3.019230769230769</v>
      </c>
      <c r="T28" s="7">
        <f aca="true" t="shared" si="24" ref="T28:T44">AVERAGE(N28:S28)</f>
        <v>3.1045035177916485</v>
      </c>
      <c r="U28" s="7">
        <f aca="true" t="shared" si="25" ref="U28:U44">STDEV(N28:S28)/SQRT(6)</f>
        <v>0.07225347392439563</v>
      </c>
    </row>
    <row r="29" spans="2:21" ht="15">
      <c r="B29" t="s">
        <v>73</v>
      </c>
      <c r="C29">
        <v>1.36</v>
      </c>
      <c r="D29">
        <v>1.28</v>
      </c>
      <c r="E29">
        <v>1.36</v>
      </c>
      <c r="F29">
        <v>1.52</v>
      </c>
      <c r="G29">
        <v>1.37</v>
      </c>
      <c r="H29">
        <v>1.5</v>
      </c>
      <c r="I29" s="7">
        <f t="shared" si="16"/>
        <v>1.3983333333333334</v>
      </c>
      <c r="J29" s="7">
        <f t="shared" si="17"/>
        <v>0.037807994451497205</v>
      </c>
      <c r="N29" s="7">
        <f t="shared" si="18"/>
        <v>0.5171102661596958</v>
      </c>
      <c r="O29" s="7">
        <f t="shared" si="19"/>
        <v>0.5</v>
      </c>
      <c r="P29" s="7">
        <f t="shared" si="20"/>
        <v>0.5132075471698113</v>
      </c>
      <c r="Q29" s="7">
        <f t="shared" si="21"/>
        <v>0.5547445255474452</v>
      </c>
      <c r="R29" s="7">
        <f t="shared" si="22"/>
        <v>0.5372549019607843</v>
      </c>
      <c r="S29" s="7">
        <f t="shared" si="23"/>
        <v>0.5769230769230769</v>
      </c>
      <c r="T29" s="7">
        <f t="shared" si="24"/>
        <v>0.5332067196268021</v>
      </c>
      <c r="U29" s="7">
        <f t="shared" si="25"/>
        <v>0.011765958950713473</v>
      </c>
    </row>
    <row r="30" spans="2:21" ht="15">
      <c r="B30" t="s">
        <v>74</v>
      </c>
      <c r="C30">
        <v>6.16</v>
      </c>
      <c r="D30">
        <v>4.77</v>
      </c>
      <c r="E30">
        <v>5.54</v>
      </c>
      <c r="F30">
        <v>4.97</v>
      </c>
      <c r="G30">
        <v>4.22</v>
      </c>
      <c r="H30">
        <v>5.02</v>
      </c>
      <c r="I30" s="7">
        <f t="shared" si="16"/>
        <v>5.113333333333332</v>
      </c>
      <c r="J30" s="7">
        <f t="shared" si="17"/>
        <v>0.27219682421202535</v>
      </c>
      <c r="N30" s="7">
        <f t="shared" si="18"/>
        <v>2.3422053231939164</v>
      </c>
      <c r="O30" s="7">
        <f t="shared" si="19"/>
        <v>1.8632812499999998</v>
      </c>
      <c r="P30" s="7">
        <f t="shared" si="20"/>
        <v>2.090566037735849</v>
      </c>
      <c r="Q30" s="7">
        <f t="shared" si="21"/>
        <v>1.813868613138686</v>
      </c>
      <c r="R30" s="7">
        <f t="shared" si="22"/>
        <v>1.6549019607843136</v>
      </c>
      <c r="S30" s="7">
        <f t="shared" si="23"/>
        <v>1.9307692307692306</v>
      </c>
      <c r="T30" s="7">
        <f t="shared" si="24"/>
        <v>1.9492654026036658</v>
      </c>
      <c r="U30" s="7">
        <f t="shared" si="25"/>
        <v>0.09782384849495114</v>
      </c>
    </row>
    <row r="31" spans="2:21" ht="15">
      <c r="B31" t="s">
        <v>75</v>
      </c>
      <c r="C31">
        <v>4.66</v>
      </c>
      <c r="D31">
        <v>2.28</v>
      </c>
      <c r="E31">
        <v>3.16</v>
      </c>
      <c r="F31">
        <v>3.27</v>
      </c>
      <c r="G31">
        <v>2.85</v>
      </c>
      <c r="H31">
        <v>4.77</v>
      </c>
      <c r="I31" s="7">
        <f t="shared" si="16"/>
        <v>3.498333333333333</v>
      </c>
      <c r="J31" s="7">
        <f t="shared" si="17"/>
        <v>0.4097919526350477</v>
      </c>
      <c r="N31" s="7">
        <f t="shared" si="18"/>
        <v>1.7718631178707225</v>
      </c>
      <c r="O31" s="7">
        <f t="shared" si="19"/>
        <v>0.8906249999999999</v>
      </c>
      <c r="P31" s="7">
        <f t="shared" si="20"/>
        <v>1.1924528301886792</v>
      </c>
      <c r="Q31" s="7">
        <f t="shared" si="21"/>
        <v>1.1934306569343065</v>
      </c>
      <c r="R31" s="7">
        <f t="shared" si="22"/>
        <v>1.1176470588235294</v>
      </c>
      <c r="S31" s="7">
        <f t="shared" si="23"/>
        <v>1.8346153846153843</v>
      </c>
      <c r="T31" s="7">
        <f t="shared" si="24"/>
        <v>1.3334390080721035</v>
      </c>
      <c r="U31" s="7">
        <f t="shared" si="25"/>
        <v>0.15551241239910138</v>
      </c>
    </row>
    <row r="32" spans="2:21" ht="15">
      <c r="B32" t="s">
        <v>76</v>
      </c>
      <c r="C32">
        <v>4.68</v>
      </c>
      <c r="D32">
        <v>4.3</v>
      </c>
      <c r="E32">
        <v>3.88</v>
      </c>
      <c r="F32">
        <v>4.45</v>
      </c>
      <c r="G32">
        <v>3.87</v>
      </c>
      <c r="H32">
        <v>3.26</v>
      </c>
      <c r="I32" s="7">
        <f t="shared" si="16"/>
        <v>4.073333333333333</v>
      </c>
      <c r="J32" s="7">
        <f t="shared" si="17"/>
        <v>0.20828932868595448</v>
      </c>
      <c r="N32" s="7">
        <f t="shared" si="18"/>
        <v>1.779467680608365</v>
      </c>
      <c r="O32" s="7">
        <f t="shared" si="19"/>
        <v>1.6796875</v>
      </c>
      <c r="P32" s="7">
        <f t="shared" si="20"/>
        <v>1.4641509433962263</v>
      </c>
      <c r="Q32" s="7">
        <f t="shared" si="21"/>
        <v>1.6240875912408759</v>
      </c>
      <c r="R32" s="7">
        <f t="shared" si="22"/>
        <v>1.5176470588235293</v>
      </c>
      <c r="S32" s="7">
        <f t="shared" si="23"/>
        <v>1.2538461538461538</v>
      </c>
      <c r="T32" s="7">
        <f t="shared" si="24"/>
        <v>1.553147821319192</v>
      </c>
      <c r="U32" s="7">
        <f t="shared" si="25"/>
        <v>0.07550444943087802</v>
      </c>
    </row>
    <row r="33" spans="2:21" ht="15">
      <c r="B33" t="s">
        <v>77</v>
      </c>
      <c r="C33">
        <f aca="true" t="shared" si="26" ref="C33:H33">SUM(C30:C32)</f>
        <v>15.5</v>
      </c>
      <c r="D33">
        <f t="shared" si="26"/>
        <v>11.349999999999998</v>
      </c>
      <c r="E33">
        <f t="shared" si="26"/>
        <v>12.579999999999998</v>
      </c>
      <c r="F33">
        <f t="shared" si="26"/>
        <v>12.690000000000001</v>
      </c>
      <c r="G33">
        <f t="shared" si="26"/>
        <v>10.940000000000001</v>
      </c>
      <c r="H33">
        <f t="shared" si="26"/>
        <v>13.049999999999999</v>
      </c>
      <c r="I33" s="7">
        <f t="shared" si="16"/>
        <v>12.684999999999997</v>
      </c>
      <c r="J33" s="7">
        <f t="shared" si="17"/>
        <v>0.6556358237111127</v>
      </c>
      <c r="N33" s="7">
        <f t="shared" si="18"/>
        <v>5.893536121673004</v>
      </c>
      <c r="O33" s="7">
        <f t="shared" si="19"/>
        <v>4.433593749999999</v>
      </c>
      <c r="P33" s="7">
        <f t="shared" si="20"/>
        <v>4.747169811320754</v>
      </c>
      <c r="Q33" s="7">
        <f t="shared" si="21"/>
        <v>4.631386861313869</v>
      </c>
      <c r="R33" s="7">
        <f t="shared" si="22"/>
        <v>4.290196078431373</v>
      </c>
      <c r="S33" s="7">
        <f t="shared" si="23"/>
        <v>5.019230769230769</v>
      </c>
      <c r="T33" s="7">
        <f t="shared" si="24"/>
        <v>4.835852231994961</v>
      </c>
      <c r="U33" s="7">
        <f t="shared" si="25"/>
        <v>0.23533990185873305</v>
      </c>
    </row>
    <row r="34" spans="2:21" ht="15">
      <c r="B34" t="s">
        <v>78</v>
      </c>
      <c r="C34">
        <v>0.47</v>
      </c>
      <c r="D34">
        <v>0.53</v>
      </c>
      <c r="E34">
        <v>0.52</v>
      </c>
      <c r="F34">
        <v>0.44</v>
      </c>
      <c r="G34">
        <v>0.48</v>
      </c>
      <c r="H34">
        <v>0.36</v>
      </c>
      <c r="I34" s="7">
        <f t="shared" si="16"/>
        <v>0.4666666666666666</v>
      </c>
      <c r="J34" s="7">
        <f t="shared" si="17"/>
        <v>0.025254262566501158</v>
      </c>
      <c r="N34" s="7">
        <f t="shared" si="18"/>
        <v>0.17870722433460076</v>
      </c>
      <c r="O34" s="7">
        <f t="shared" si="19"/>
        <v>0.20703125</v>
      </c>
      <c r="P34" s="7">
        <f t="shared" si="20"/>
        <v>0.19622641509433963</v>
      </c>
      <c r="Q34" s="7">
        <f t="shared" si="21"/>
        <v>0.16058394160583941</v>
      </c>
      <c r="R34" s="7">
        <f t="shared" si="22"/>
        <v>0.18823529411764706</v>
      </c>
      <c r="S34" s="7">
        <f t="shared" si="23"/>
        <v>0.13846153846153847</v>
      </c>
      <c r="T34" s="7">
        <f t="shared" si="24"/>
        <v>0.17820761060232757</v>
      </c>
      <c r="U34" s="7">
        <f t="shared" si="25"/>
        <v>0.010241463947326848</v>
      </c>
    </row>
    <row r="35" spans="2:21" ht="15">
      <c r="B35" t="s">
        <v>79</v>
      </c>
      <c r="C35">
        <v>23.17</v>
      </c>
      <c r="D35">
        <v>22.8</v>
      </c>
      <c r="E35">
        <v>20.48</v>
      </c>
      <c r="F35">
        <v>19.11</v>
      </c>
      <c r="G35">
        <v>19.22</v>
      </c>
      <c r="H35">
        <v>16.33</v>
      </c>
      <c r="I35" s="7">
        <f t="shared" si="16"/>
        <v>20.185</v>
      </c>
      <c r="J35" s="7">
        <f t="shared" si="17"/>
        <v>1.0453603844288935</v>
      </c>
      <c r="N35" s="7">
        <f t="shared" si="18"/>
        <v>8.809885931558936</v>
      </c>
      <c r="O35" s="7">
        <f t="shared" si="19"/>
        <v>8.90625</v>
      </c>
      <c r="P35" s="7">
        <f t="shared" si="20"/>
        <v>7.728301886792453</v>
      </c>
      <c r="Q35" s="7">
        <f t="shared" si="21"/>
        <v>6.974452554744525</v>
      </c>
      <c r="R35" s="7">
        <f t="shared" si="22"/>
        <v>7.537254901960784</v>
      </c>
      <c r="S35" s="7">
        <f t="shared" si="23"/>
        <v>6.28076923076923</v>
      </c>
      <c r="T35" s="7">
        <f t="shared" si="24"/>
        <v>7.706152417637655</v>
      </c>
      <c r="U35" s="7">
        <f t="shared" si="25"/>
        <v>0.41851247554067716</v>
      </c>
    </row>
    <row r="36" spans="2:21" ht="15">
      <c r="B36" t="s">
        <v>80</v>
      </c>
      <c r="C36">
        <v>0.8</v>
      </c>
      <c r="D36">
        <v>0.89</v>
      </c>
      <c r="E36">
        <v>0.93</v>
      </c>
      <c r="F36">
        <v>0.82</v>
      </c>
      <c r="G36">
        <v>0.94</v>
      </c>
      <c r="H36">
        <v>0.72</v>
      </c>
      <c r="I36" s="7">
        <f t="shared" si="16"/>
        <v>0.85</v>
      </c>
      <c r="J36" s="7">
        <f t="shared" si="17"/>
        <v>0.034832934606968353</v>
      </c>
      <c r="N36" s="7">
        <f t="shared" si="18"/>
        <v>0.3041825095057034</v>
      </c>
      <c r="O36" s="7">
        <f t="shared" si="19"/>
        <v>0.34765625</v>
      </c>
      <c r="P36" s="7">
        <f t="shared" si="20"/>
        <v>0.35094339622641507</v>
      </c>
      <c r="Q36" s="7">
        <f t="shared" si="21"/>
        <v>0.29927007299270075</v>
      </c>
      <c r="R36" s="7">
        <f t="shared" si="22"/>
        <v>0.3686274509803922</v>
      </c>
      <c r="S36" s="7">
        <f t="shared" si="23"/>
        <v>0.27692307692307694</v>
      </c>
      <c r="T36" s="7">
        <f t="shared" si="24"/>
        <v>0.32460045943804805</v>
      </c>
      <c r="U36" s="7">
        <f t="shared" si="25"/>
        <v>0.014714561655869445</v>
      </c>
    </row>
    <row r="37" spans="2:21" ht="15">
      <c r="B37" t="s">
        <v>81</v>
      </c>
      <c r="C37">
        <v>0.79</v>
      </c>
      <c r="D37">
        <v>0.57</v>
      </c>
      <c r="E37">
        <v>0.8</v>
      </c>
      <c r="F37">
        <v>0.83</v>
      </c>
      <c r="G37">
        <v>0.6</v>
      </c>
      <c r="H37">
        <v>0.79</v>
      </c>
      <c r="I37" s="7">
        <f t="shared" si="16"/>
        <v>0.7300000000000001</v>
      </c>
      <c r="J37" s="7">
        <f t="shared" si="17"/>
        <v>0.04640402281411929</v>
      </c>
      <c r="N37" s="7">
        <f t="shared" si="18"/>
        <v>0.30038022813688214</v>
      </c>
      <c r="O37" s="7">
        <f t="shared" si="19"/>
        <v>0.22265624999999997</v>
      </c>
      <c r="P37" s="7">
        <f t="shared" si="20"/>
        <v>0.3018867924528302</v>
      </c>
      <c r="Q37" s="7">
        <f t="shared" si="21"/>
        <v>0.3029197080291971</v>
      </c>
      <c r="R37" s="7">
        <f t="shared" si="22"/>
        <v>0.23529411764705882</v>
      </c>
      <c r="S37" s="7">
        <f t="shared" si="23"/>
        <v>0.3038461538461538</v>
      </c>
      <c r="T37" s="7">
        <f t="shared" si="24"/>
        <v>0.27783054168535365</v>
      </c>
      <c r="U37" s="7">
        <f t="shared" si="25"/>
        <v>0.015542436249321102</v>
      </c>
    </row>
    <row r="38" spans="2:21" ht="15">
      <c r="B38" t="s">
        <v>82</v>
      </c>
      <c r="C38">
        <v>0.88</v>
      </c>
      <c r="D38">
        <v>0.66</v>
      </c>
      <c r="E38">
        <v>0.94</v>
      </c>
      <c r="F38">
        <v>0.7</v>
      </c>
      <c r="G38">
        <v>0.76</v>
      </c>
      <c r="H38">
        <v>0.8</v>
      </c>
      <c r="I38" s="7">
        <f t="shared" si="16"/>
        <v>0.7899999999999999</v>
      </c>
      <c r="J38" s="7">
        <f t="shared" si="17"/>
        <v>0.0434357763446988</v>
      </c>
      <c r="N38" s="7">
        <f t="shared" si="18"/>
        <v>0.33460076045627374</v>
      </c>
      <c r="O38" s="7">
        <f t="shared" si="19"/>
        <v>0.2578125</v>
      </c>
      <c r="P38" s="7">
        <f t="shared" si="20"/>
        <v>0.35471698113207545</v>
      </c>
      <c r="Q38" s="7">
        <f t="shared" si="21"/>
        <v>0.25547445255474455</v>
      </c>
      <c r="R38" s="7">
        <f t="shared" si="22"/>
        <v>0.2980392156862745</v>
      </c>
      <c r="S38" s="7">
        <f t="shared" si="23"/>
        <v>0.3076923076923077</v>
      </c>
      <c r="T38" s="7">
        <f t="shared" si="24"/>
        <v>0.301389369586946</v>
      </c>
      <c r="U38" s="7">
        <f t="shared" si="25"/>
        <v>0.016334936348792874</v>
      </c>
    </row>
    <row r="39" spans="2:21" ht="15">
      <c r="B39" t="s">
        <v>83</v>
      </c>
      <c r="C39">
        <f aca="true" t="shared" si="27" ref="C39:H39">SUM(C36:C38)</f>
        <v>2.47</v>
      </c>
      <c r="D39">
        <f t="shared" si="27"/>
        <v>2.12</v>
      </c>
      <c r="E39">
        <f t="shared" si="27"/>
        <v>2.67</v>
      </c>
      <c r="F39">
        <f t="shared" si="27"/>
        <v>2.3499999999999996</v>
      </c>
      <c r="G39">
        <f t="shared" si="27"/>
        <v>2.3</v>
      </c>
      <c r="H39">
        <f t="shared" si="27"/>
        <v>2.31</v>
      </c>
      <c r="I39" s="7">
        <f t="shared" si="16"/>
        <v>2.37</v>
      </c>
      <c r="J39" s="7">
        <f t="shared" si="17"/>
        <v>0.07558659493146476</v>
      </c>
      <c r="N39" s="7">
        <f t="shared" si="18"/>
        <v>0.9391634980988595</v>
      </c>
      <c r="O39" s="7">
        <f t="shared" si="19"/>
        <v>0.828125</v>
      </c>
      <c r="P39" s="7">
        <f t="shared" si="20"/>
        <v>1.0075471698113208</v>
      </c>
      <c r="Q39" s="7">
        <f t="shared" si="21"/>
        <v>0.8576642335766422</v>
      </c>
      <c r="R39" s="7">
        <f t="shared" si="22"/>
        <v>0.9019607843137254</v>
      </c>
      <c r="S39" s="7">
        <f t="shared" si="23"/>
        <v>0.8884615384615384</v>
      </c>
      <c r="T39" s="7">
        <f t="shared" si="24"/>
        <v>0.9038203707103477</v>
      </c>
      <c r="U39" s="7">
        <f t="shared" si="25"/>
        <v>0.025889454376270764</v>
      </c>
    </row>
    <row r="40" spans="2:21" ht="15">
      <c r="B40" t="s">
        <v>84</v>
      </c>
      <c r="C40">
        <v>1.31</v>
      </c>
      <c r="D40">
        <v>1.16</v>
      </c>
      <c r="E40">
        <v>1.21</v>
      </c>
      <c r="F40">
        <v>1.14</v>
      </c>
      <c r="G40">
        <v>1.07</v>
      </c>
      <c r="H40">
        <v>1.04</v>
      </c>
      <c r="I40" s="7">
        <f t="shared" si="16"/>
        <v>1.155</v>
      </c>
      <c r="J40" s="7">
        <f t="shared" si="17"/>
        <v>0.03989569734528608</v>
      </c>
      <c r="N40" s="7">
        <f t="shared" si="18"/>
        <v>0.49809885931558934</v>
      </c>
      <c r="O40" s="7">
        <f t="shared" si="19"/>
        <v>0.45312499999999994</v>
      </c>
      <c r="P40" s="7">
        <f t="shared" si="20"/>
        <v>0.45660377358490567</v>
      </c>
      <c r="Q40" s="7">
        <f t="shared" si="21"/>
        <v>0.4160583941605839</v>
      </c>
      <c r="R40" s="7">
        <f t="shared" si="22"/>
        <v>0.4196078431372549</v>
      </c>
      <c r="S40" s="7">
        <f t="shared" si="23"/>
        <v>0.4</v>
      </c>
      <c r="T40" s="7">
        <f t="shared" si="24"/>
        <v>0.44058231169972223</v>
      </c>
      <c r="U40" s="7">
        <f t="shared" si="25"/>
        <v>0.014617836600334557</v>
      </c>
    </row>
    <row r="41" spans="2:21" ht="15">
      <c r="B41" t="s">
        <v>85</v>
      </c>
      <c r="C41">
        <v>0.74</v>
      </c>
      <c r="D41">
        <v>1.06</v>
      </c>
      <c r="E41">
        <v>1.12</v>
      </c>
      <c r="F41">
        <v>0.99</v>
      </c>
      <c r="G41">
        <v>0.89</v>
      </c>
      <c r="H41">
        <v>0.89</v>
      </c>
      <c r="I41" s="7">
        <f t="shared" si="16"/>
        <v>0.9483333333333333</v>
      </c>
      <c r="J41" s="7">
        <f t="shared" si="17"/>
        <v>0.05594143763297922</v>
      </c>
      <c r="N41" s="7">
        <f t="shared" si="18"/>
        <v>0.2813688212927757</v>
      </c>
      <c r="O41" s="7">
        <f t="shared" si="19"/>
        <v>0.4140625</v>
      </c>
      <c r="P41" s="7">
        <f t="shared" si="20"/>
        <v>0.42264150943396234</v>
      </c>
      <c r="Q41" s="7">
        <f t="shared" si="21"/>
        <v>0.3613138686131387</v>
      </c>
      <c r="R41" s="7">
        <f t="shared" si="22"/>
        <v>0.34901960784313724</v>
      </c>
      <c r="S41" s="7">
        <f t="shared" si="23"/>
        <v>0.3423076923076923</v>
      </c>
      <c r="T41" s="7">
        <f t="shared" si="24"/>
        <v>0.3617856665817844</v>
      </c>
      <c r="U41" s="7">
        <f t="shared" si="25"/>
        <v>0.021170542630886312</v>
      </c>
    </row>
    <row r="42" spans="2:21" ht="15">
      <c r="B42" t="s">
        <v>86</v>
      </c>
      <c r="C42">
        <v>1.29</v>
      </c>
      <c r="D42">
        <v>1.63</v>
      </c>
      <c r="E42">
        <v>1.6</v>
      </c>
      <c r="F42">
        <v>1.68</v>
      </c>
      <c r="G42">
        <v>1.48</v>
      </c>
      <c r="H42">
        <v>1.47</v>
      </c>
      <c r="I42" s="7">
        <f t="shared" si="16"/>
        <v>1.5250000000000001</v>
      </c>
      <c r="J42" s="7">
        <f t="shared" si="17"/>
        <v>0.05800862004909269</v>
      </c>
      <c r="N42" s="7">
        <f t="shared" si="18"/>
        <v>0.49049429657794674</v>
      </c>
      <c r="O42" s="7">
        <f t="shared" si="19"/>
        <v>0.63671875</v>
      </c>
      <c r="P42" s="7">
        <f t="shared" si="20"/>
        <v>0.6037735849056604</v>
      </c>
      <c r="Q42" s="7">
        <f t="shared" si="21"/>
        <v>0.6131386861313869</v>
      </c>
      <c r="R42" s="7">
        <f t="shared" si="22"/>
        <v>0.5803921568627451</v>
      </c>
      <c r="S42" s="7">
        <f t="shared" si="23"/>
        <v>0.5653846153846154</v>
      </c>
      <c r="T42" s="7">
        <f t="shared" si="24"/>
        <v>0.5816503483103924</v>
      </c>
      <c r="U42" s="7">
        <f t="shared" si="25"/>
        <v>0.020887847153793524</v>
      </c>
    </row>
    <row r="43" spans="2:21" ht="15">
      <c r="B43" t="s">
        <v>87</v>
      </c>
      <c r="C43">
        <f aca="true" t="shared" si="28" ref="C43:H43">C35-(C39+C40+C41+C42)</f>
        <v>17.36</v>
      </c>
      <c r="D43">
        <f t="shared" si="28"/>
        <v>16.830000000000002</v>
      </c>
      <c r="E43">
        <f t="shared" si="28"/>
        <v>13.88</v>
      </c>
      <c r="F43">
        <f t="shared" si="28"/>
        <v>12.95</v>
      </c>
      <c r="G43">
        <f t="shared" si="28"/>
        <v>13.479999999999999</v>
      </c>
      <c r="H43">
        <f t="shared" si="28"/>
        <v>10.619999999999997</v>
      </c>
      <c r="I43" s="7">
        <f t="shared" si="16"/>
        <v>14.186666666666667</v>
      </c>
      <c r="J43" s="7">
        <f t="shared" si="17"/>
        <v>1.0311988707863822</v>
      </c>
      <c r="N43" s="7">
        <f t="shared" si="18"/>
        <v>6.600760456273764</v>
      </c>
      <c r="O43" s="7">
        <f t="shared" si="19"/>
        <v>6.574218750000001</v>
      </c>
      <c r="P43" s="7">
        <f t="shared" si="20"/>
        <v>5.2377358490566035</v>
      </c>
      <c r="Q43" s="7">
        <f t="shared" si="21"/>
        <v>4.726277372262774</v>
      </c>
      <c r="R43" s="7">
        <f t="shared" si="22"/>
        <v>5.2862745098039206</v>
      </c>
      <c r="S43" s="7">
        <f t="shared" si="23"/>
        <v>4.084615384615383</v>
      </c>
      <c r="T43" s="7">
        <f t="shared" si="24"/>
        <v>5.418313720335408</v>
      </c>
      <c r="U43" s="7">
        <f t="shared" si="25"/>
        <v>0.4099595508260394</v>
      </c>
    </row>
    <row r="44" spans="2:21" ht="15">
      <c r="B44" t="s">
        <v>88</v>
      </c>
      <c r="C44">
        <f aca="true" t="shared" si="29" ref="C44:H44">C27-C43</f>
        <v>245.64</v>
      </c>
      <c r="D44">
        <f t="shared" si="29"/>
        <v>239.17</v>
      </c>
      <c r="E44">
        <f t="shared" si="29"/>
        <v>251.12</v>
      </c>
      <c r="F44">
        <f t="shared" si="29"/>
        <v>261.05</v>
      </c>
      <c r="G44">
        <f t="shared" si="29"/>
        <v>241.52</v>
      </c>
      <c r="H44">
        <f t="shared" si="29"/>
        <v>249.38</v>
      </c>
      <c r="I44" s="7">
        <f t="shared" si="16"/>
        <v>247.98000000000002</v>
      </c>
      <c r="J44" s="7">
        <f t="shared" si="17"/>
        <v>3.2013944878234994</v>
      </c>
      <c r="N44" s="7">
        <f t="shared" si="18"/>
        <v>93.39923954372624</v>
      </c>
      <c r="O44" s="7">
        <f t="shared" si="19"/>
        <v>93.42578125</v>
      </c>
      <c r="P44" s="7">
        <f t="shared" si="20"/>
        <v>94.7622641509434</v>
      </c>
      <c r="Q44" s="7">
        <f t="shared" si="21"/>
        <v>95.27372262773723</v>
      </c>
      <c r="R44" s="7">
        <f t="shared" si="22"/>
        <v>94.71372549019608</v>
      </c>
      <c r="S44" s="7">
        <f t="shared" si="23"/>
        <v>95.91538461538461</v>
      </c>
      <c r="T44" s="7">
        <f t="shared" si="24"/>
        <v>94.5816862796646</v>
      </c>
      <c r="U44" s="7">
        <f t="shared" si="25"/>
        <v>0.4099595508260373</v>
      </c>
    </row>
    <row r="45" spans="9:10" ht="15">
      <c r="I45" s="7"/>
      <c r="J45" s="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6"/>
  <sheetViews>
    <sheetView tabSelected="1" zoomScale="70" zoomScaleNormal="70" zoomScalePageLayoutView="0" workbookViewId="0" topLeftCell="C37">
      <selection activeCell="U70" sqref="U70"/>
    </sheetView>
  </sheetViews>
  <sheetFormatPr defaultColWidth="11.421875" defaultRowHeight="15"/>
  <cols>
    <col min="15" max="15" width="12.140625" style="0" bestFit="1" customWidth="1"/>
    <col min="16" max="20" width="11.7109375" style="0" bestFit="1" customWidth="1"/>
    <col min="21" max="21" width="12.57421875" style="0" bestFit="1" customWidth="1"/>
    <col min="22" max="22" width="11.7109375" style="0" bestFit="1" customWidth="1"/>
  </cols>
  <sheetData>
    <row r="2" ht="15">
      <c r="A2" s="48" t="s">
        <v>67</v>
      </c>
    </row>
    <row r="3" spans="1:2" ht="15">
      <c r="A3" s="48" t="s">
        <v>103</v>
      </c>
      <c r="B3" s="49" t="s">
        <v>198</v>
      </c>
    </row>
    <row r="4" spans="2:22" ht="15">
      <c r="B4" t="s">
        <v>91</v>
      </c>
      <c r="C4" s="47">
        <v>1</v>
      </c>
      <c r="D4" s="47">
        <v>2</v>
      </c>
      <c r="E4" s="47">
        <v>3</v>
      </c>
      <c r="F4" s="47">
        <v>4</v>
      </c>
      <c r="G4" s="47">
        <v>5</v>
      </c>
      <c r="H4" s="47">
        <v>6</v>
      </c>
      <c r="I4" s="47" t="s">
        <v>61</v>
      </c>
      <c r="J4" s="47" t="s">
        <v>62</v>
      </c>
      <c r="K4" t="s">
        <v>200</v>
      </c>
      <c r="O4" s="47">
        <v>1</v>
      </c>
      <c r="P4" s="47">
        <v>2</v>
      </c>
      <c r="Q4" s="47">
        <v>3</v>
      </c>
      <c r="R4" s="47">
        <v>4</v>
      </c>
      <c r="S4" s="47">
        <v>5</v>
      </c>
      <c r="T4" s="96">
        <v>6</v>
      </c>
      <c r="U4" s="47" t="s">
        <v>61</v>
      </c>
      <c r="V4" s="47" t="s">
        <v>62</v>
      </c>
    </row>
    <row r="5" ht="15">
      <c r="T5" s="97"/>
    </row>
    <row r="6" spans="3:22" ht="15">
      <c r="C6">
        <v>389</v>
      </c>
      <c r="D6">
        <v>355</v>
      </c>
      <c r="E6">
        <v>351</v>
      </c>
      <c r="F6">
        <v>336</v>
      </c>
      <c r="G6">
        <v>358</v>
      </c>
      <c r="H6">
        <v>334</v>
      </c>
      <c r="I6" s="9">
        <v>353.8333333333333</v>
      </c>
      <c r="J6" s="9">
        <v>8.11343193585668</v>
      </c>
      <c r="K6">
        <v>1</v>
      </c>
      <c r="M6" t="s">
        <v>93</v>
      </c>
      <c r="O6">
        <f aca="true" t="shared" si="0" ref="O6:T6">C17-C6</f>
        <v>89</v>
      </c>
      <c r="P6">
        <f t="shared" si="0"/>
        <v>69</v>
      </c>
      <c r="Q6">
        <f t="shared" si="0"/>
        <v>87</v>
      </c>
      <c r="R6">
        <f t="shared" si="0"/>
        <v>64</v>
      </c>
      <c r="S6">
        <f t="shared" si="0"/>
        <v>107</v>
      </c>
      <c r="T6" s="97">
        <f t="shared" si="0"/>
        <v>81</v>
      </c>
      <c r="U6" s="60">
        <f>AVERAGE(O6:T6)</f>
        <v>82.83333333333333</v>
      </c>
      <c r="V6" s="60">
        <f>STDEV(O6:T6)/SQRT(6)</f>
        <v>6.295059791437875</v>
      </c>
    </row>
    <row r="7" spans="3:22" ht="15">
      <c r="C7">
        <v>391</v>
      </c>
      <c r="D7">
        <v>356</v>
      </c>
      <c r="E7">
        <v>356</v>
      </c>
      <c r="F7">
        <v>340</v>
      </c>
      <c r="G7">
        <v>368</v>
      </c>
      <c r="H7">
        <v>344</v>
      </c>
      <c r="I7" s="9">
        <v>359.1666666666667</v>
      </c>
      <c r="J7" s="9">
        <v>7.547258516250282</v>
      </c>
      <c r="K7">
        <v>3</v>
      </c>
      <c r="M7" t="s">
        <v>95</v>
      </c>
      <c r="O7" s="9">
        <f aca="true" t="shared" si="1" ref="O7:T7">O6*100/C6</f>
        <v>22.87917737789203</v>
      </c>
      <c r="P7" s="9">
        <f t="shared" si="1"/>
        <v>19.43661971830986</v>
      </c>
      <c r="Q7" s="9">
        <f t="shared" si="1"/>
        <v>24.786324786324787</v>
      </c>
      <c r="R7" s="9">
        <f t="shared" si="1"/>
        <v>19.047619047619047</v>
      </c>
      <c r="S7" s="9">
        <f t="shared" si="1"/>
        <v>29.88826815642458</v>
      </c>
      <c r="T7" s="93">
        <f t="shared" si="1"/>
        <v>24.251497005988025</v>
      </c>
      <c r="U7" s="60">
        <f>AVERAGE(O7:T7)</f>
        <v>23.38158434875972</v>
      </c>
      <c r="V7" s="60">
        <f>STDEV(O7:T7)/SQRT(6)</f>
        <v>1.6295745030777535</v>
      </c>
    </row>
    <row r="8" spans="3:22" ht="15">
      <c r="C8">
        <v>394</v>
      </c>
      <c r="D8">
        <v>358</v>
      </c>
      <c r="E8">
        <v>359</v>
      </c>
      <c r="F8">
        <v>345</v>
      </c>
      <c r="G8">
        <v>373</v>
      </c>
      <c r="H8">
        <v>345</v>
      </c>
      <c r="I8" s="9">
        <v>362.3333333333333</v>
      </c>
      <c r="J8" s="9">
        <v>7.631804796012916</v>
      </c>
      <c r="K8">
        <v>5</v>
      </c>
      <c r="M8" t="s">
        <v>94</v>
      </c>
      <c r="P8">
        <v>8343</v>
      </c>
      <c r="R8">
        <v>7939</v>
      </c>
      <c r="T8" s="97">
        <v>9025</v>
      </c>
      <c r="U8" s="60">
        <f>AVERAGE(O8:T8)</f>
        <v>8435.666666666666</v>
      </c>
      <c r="V8" s="60">
        <f>STDEV(O8:T8)/SQRT(6)</f>
        <v>224.08678874241573</v>
      </c>
    </row>
    <row r="9" spans="3:22" ht="15">
      <c r="C9">
        <v>407</v>
      </c>
      <c r="D9">
        <v>365</v>
      </c>
      <c r="E9">
        <v>372</v>
      </c>
      <c r="F9">
        <v>347</v>
      </c>
      <c r="G9">
        <v>383</v>
      </c>
      <c r="H9">
        <v>352</v>
      </c>
      <c r="I9" s="9">
        <v>371</v>
      </c>
      <c r="J9" s="9">
        <v>8.970321436083921</v>
      </c>
      <c r="K9">
        <v>8</v>
      </c>
      <c r="M9" s="73" t="s">
        <v>210</v>
      </c>
      <c r="N9" s="73"/>
      <c r="O9" s="73"/>
      <c r="P9" s="73">
        <f>P8/30</f>
        <v>278.1</v>
      </c>
      <c r="Q9" s="73"/>
      <c r="R9" s="73">
        <f>R8/30</f>
        <v>264.6333333333333</v>
      </c>
      <c r="S9" s="73"/>
      <c r="T9" s="97">
        <f>T8/30</f>
        <v>300.8333333333333</v>
      </c>
      <c r="U9" s="60">
        <f>AVERAGE(O9:T9)</f>
        <v>281.18888888888887</v>
      </c>
      <c r="V9" s="60">
        <f>STDEV(O9:T9)/SQRT(6)</f>
        <v>7.469559624747389</v>
      </c>
    </row>
    <row r="10" spans="3:22" ht="15">
      <c r="C10">
        <v>413</v>
      </c>
      <c r="D10">
        <v>369</v>
      </c>
      <c r="E10">
        <v>378</v>
      </c>
      <c r="F10">
        <v>351</v>
      </c>
      <c r="G10">
        <v>393</v>
      </c>
      <c r="H10">
        <v>359</v>
      </c>
      <c r="I10" s="9">
        <v>377.1666666666667</v>
      </c>
      <c r="J10" s="9">
        <v>9.339581242099621</v>
      </c>
      <c r="K10">
        <v>10</v>
      </c>
      <c r="M10" s="73" t="s">
        <v>211</v>
      </c>
      <c r="N10" s="73"/>
      <c r="O10" s="73"/>
      <c r="P10" s="73">
        <f>P9/4.184</f>
        <v>66.46749521988528</v>
      </c>
      <c r="Q10" s="73"/>
      <c r="R10" s="73">
        <f>R9/4.184</f>
        <v>63.24888463989802</v>
      </c>
      <c r="S10" s="73"/>
      <c r="T10" s="97">
        <f>T9/4.184</f>
        <v>71.90089228808158</v>
      </c>
      <c r="U10" s="60">
        <f>AVERAGE(O10:T10)</f>
        <v>67.20575738262163</v>
      </c>
      <c r="V10" s="60">
        <f>STDEV(O10:T10)/SQRT(6)</f>
        <v>1.7852675967369485</v>
      </c>
    </row>
    <row r="11" spans="3:22" ht="15">
      <c r="C11">
        <v>419</v>
      </c>
      <c r="D11">
        <v>377</v>
      </c>
      <c r="E11">
        <v>385</v>
      </c>
      <c r="F11">
        <v>355</v>
      </c>
      <c r="G11">
        <v>404</v>
      </c>
      <c r="H11">
        <v>365</v>
      </c>
      <c r="I11" s="9">
        <v>384.1666666666667</v>
      </c>
      <c r="J11" s="9">
        <v>9.792570880235985</v>
      </c>
      <c r="K11">
        <v>12</v>
      </c>
      <c r="T11" s="97"/>
      <c r="U11" s="47"/>
      <c r="V11" s="47"/>
    </row>
    <row r="12" spans="3:22" ht="15">
      <c r="C12">
        <v>432</v>
      </c>
      <c r="D12">
        <v>387</v>
      </c>
      <c r="E12">
        <v>396</v>
      </c>
      <c r="F12">
        <v>360</v>
      </c>
      <c r="G12">
        <v>408</v>
      </c>
      <c r="H12">
        <v>374</v>
      </c>
      <c r="I12" s="9">
        <v>392.8333333333333</v>
      </c>
      <c r="J12" s="9">
        <v>10.393641218445973</v>
      </c>
      <c r="K12">
        <v>15</v>
      </c>
      <c r="M12" t="s">
        <v>90</v>
      </c>
      <c r="O12" s="9">
        <f>P8/O6</f>
        <v>93.74157303370787</v>
      </c>
      <c r="P12" s="9">
        <f>P8/P6</f>
        <v>120.91304347826087</v>
      </c>
      <c r="Q12" s="9">
        <f>R8/Q6</f>
        <v>91.25287356321839</v>
      </c>
      <c r="R12" s="9">
        <f>R8/R6</f>
        <v>124.046875</v>
      </c>
      <c r="S12" s="9">
        <f>T8/S6</f>
        <v>84.34579439252336</v>
      </c>
      <c r="T12" s="93">
        <f>T8/T6</f>
        <v>111.41975308641975</v>
      </c>
      <c r="U12" s="60">
        <f>AVERAGE(O12:T12)</f>
        <v>104.28665209235504</v>
      </c>
      <c r="V12" s="60">
        <f>STDEV(O12:T12)/SQRT(6)</f>
        <v>6.8227568000364425</v>
      </c>
    </row>
    <row r="13" spans="3:22" ht="15">
      <c r="C13">
        <v>446</v>
      </c>
      <c r="D13">
        <v>393</v>
      </c>
      <c r="E13">
        <v>410</v>
      </c>
      <c r="F13">
        <v>376</v>
      </c>
      <c r="G13">
        <v>434</v>
      </c>
      <c r="H13">
        <v>392</v>
      </c>
      <c r="I13" s="9">
        <v>408.5</v>
      </c>
      <c r="J13" s="9">
        <v>10.996211468804457</v>
      </c>
      <c r="K13">
        <v>19</v>
      </c>
      <c r="O13" s="9"/>
      <c r="P13" s="9"/>
      <c r="Q13" s="9"/>
      <c r="R13" s="9"/>
      <c r="S13" s="9"/>
      <c r="T13" s="93"/>
      <c r="U13" s="60"/>
      <c r="V13" s="60"/>
    </row>
    <row r="14" spans="3:22" ht="15">
      <c r="C14">
        <v>456</v>
      </c>
      <c r="D14">
        <v>405</v>
      </c>
      <c r="E14">
        <v>420</v>
      </c>
      <c r="F14">
        <v>386</v>
      </c>
      <c r="G14">
        <v>440</v>
      </c>
      <c r="H14">
        <v>402</v>
      </c>
      <c r="I14" s="9">
        <v>418.1666666666667</v>
      </c>
      <c r="J14" s="9">
        <v>10.615763959529332</v>
      </c>
      <c r="K14">
        <v>22</v>
      </c>
      <c r="M14" t="s">
        <v>97</v>
      </c>
      <c r="O14" s="9">
        <f aca="true" t="shared" si="2" ref="O14:T14">POWER(O6,0.75)</f>
        <v>28.976271684829253</v>
      </c>
      <c r="P14" s="9">
        <f t="shared" si="2"/>
        <v>23.94069853912678</v>
      </c>
      <c r="Q14" s="9">
        <f t="shared" si="2"/>
        <v>28.486522736528002</v>
      </c>
      <c r="R14" s="9">
        <f t="shared" si="2"/>
        <v>22.627416997969508</v>
      </c>
      <c r="S14" s="9">
        <f t="shared" si="2"/>
        <v>33.26885339635827</v>
      </c>
      <c r="T14" s="93">
        <f t="shared" si="2"/>
        <v>27</v>
      </c>
      <c r="U14" s="60">
        <f>AVERAGE(O14:T14)</f>
        <v>27.38329389246864</v>
      </c>
      <c r="V14" s="60">
        <f>STDEV(O14:T14)/SQRT(6)</f>
        <v>1.5600346664271032</v>
      </c>
    </row>
    <row r="15" spans="3:22" ht="15">
      <c r="C15">
        <v>463</v>
      </c>
      <c r="D15">
        <v>409</v>
      </c>
      <c r="E15">
        <v>425</v>
      </c>
      <c r="F15">
        <v>388</v>
      </c>
      <c r="G15">
        <v>450</v>
      </c>
      <c r="H15">
        <v>408</v>
      </c>
      <c r="I15" s="9">
        <v>423.8333333333333</v>
      </c>
      <c r="J15" s="9">
        <v>11.510623112778989</v>
      </c>
      <c r="K15">
        <v>25</v>
      </c>
      <c r="M15" t="s">
        <v>96</v>
      </c>
      <c r="O15" s="9">
        <f>P8/O14</f>
        <v>287.92524071922065</v>
      </c>
      <c r="P15" s="9">
        <f>P8/P14</f>
        <v>348.48607221568165</v>
      </c>
      <c r="Q15" s="9">
        <f>R8/Q14</f>
        <v>278.69319374034706</v>
      </c>
      <c r="R15" s="9">
        <f>R8/R14</f>
        <v>350.85754599000023</v>
      </c>
      <c r="S15" s="9">
        <f>T8/S14</f>
        <v>271.27475337000675</v>
      </c>
      <c r="T15" s="93">
        <f>T8/T14</f>
        <v>334.25925925925924</v>
      </c>
      <c r="U15" s="60">
        <f>AVERAGE(O15:T15)</f>
        <v>311.91601088241924</v>
      </c>
      <c r="V15" s="60">
        <f>STDEV(O15:T15)/SQRT(6)</f>
        <v>14.926550990937768</v>
      </c>
    </row>
    <row r="16" spans="3:22" ht="15">
      <c r="C16">
        <v>467</v>
      </c>
      <c r="D16">
        <v>414</v>
      </c>
      <c r="E16">
        <v>429</v>
      </c>
      <c r="F16">
        <v>392</v>
      </c>
      <c r="G16">
        <v>455</v>
      </c>
      <c r="H16">
        <v>411</v>
      </c>
      <c r="I16" s="9">
        <v>428</v>
      </c>
      <c r="J16" s="9">
        <v>11.593101396951552</v>
      </c>
      <c r="K16">
        <v>26</v>
      </c>
      <c r="O16" s="9"/>
      <c r="P16" s="9"/>
      <c r="Q16" s="9"/>
      <c r="R16" s="9"/>
      <c r="S16" s="9"/>
      <c r="T16" s="93"/>
      <c r="U16" s="60"/>
      <c r="V16" s="60"/>
    </row>
    <row r="17" spans="3:22" ht="15">
      <c r="C17">
        <v>478</v>
      </c>
      <c r="D17">
        <v>424</v>
      </c>
      <c r="E17">
        <v>438</v>
      </c>
      <c r="F17">
        <v>400</v>
      </c>
      <c r="G17">
        <v>465</v>
      </c>
      <c r="H17">
        <v>415</v>
      </c>
      <c r="I17" s="9">
        <v>436.6666666666667</v>
      </c>
      <c r="J17" s="9">
        <v>12.230199416925924</v>
      </c>
      <c r="K17">
        <v>30</v>
      </c>
      <c r="M17" t="s">
        <v>99</v>
      </c>
      <c r="O17" s="9">
        <f>P8*0.145/17</f>
        <v>71.16088235294117</v>
      </c>
      <c r="P17" s="9">
        <f>P8*0.145/17</f>
        <v>71.16088235294117</v>
      </c>
      <c r="Q17" s="9">
        <f>R8*0.145/17</f>
        <v>67.715</v>
      </c>
      <c r="R17" s="9">
        <f>R8*0.145/17</f>
        <v>67.715</v>
      </c>
      <c r="S17" s="9">
        <f>T8*0.145/17</f>
        <v>76.9779411764706</v>
      </c>
      <c r="T17" s="93">
        <f>T8*0.145/17</f>
        <v>76.9779411764706</v>
      </c>
      <c r="U17" s="60">
        <f>AVERAGE(O17:T17)</f>
        <v>71.95127450980392</v>
      </c>
      <c r="V17" s="60">
        <f>STDEV(O17:T17)/SQRT(6)</f>
        <v>1.70954417436972</v>
      </c>
    </row>
    <row r="18" spans="15:22" ht="15">
      <c r="O18" s="9"/>
      <c r="P18" s="9"/>
      <c r="Q18" s="9"/>
      <c r="R18" s="9"/>
      <c r="S18" s="9"/>
      <c r="T18" s="93"/>
      <c r="U18" s="60"/>
      <c r="V18" s="60"/>
    </row>
    <row r="19" spans="13:22" ht="15">
      <c r="M19" t="s">
        <v>100</v>
      </c>
      <c r="O19" s="9">
        <f aca="true" t="shared" si="3" ref="O19:T19">O17/O6</f>
        <v>0.7995604758757435</v>
      </c>
      <c r="P19" s="9">
        <f t="shared" si="3"/>
        <v>1.031317135549872</v>
      </c>
      <c r="Q19" s="9">
        <f t="shared" si="3"/>
        <v>0.7783333333333333</v>
      </c>
      <c r="R19" s="9">
        <f t="shared" si="3"/>
        <v>1.058046875</v>
      </c>
      <c r="S19" s="9">
        <f t="shared" si="3"/>
        <v>0.7194200109950523</v>
      </c>
      <c r="T19" s="93">
        <f t="shared" si="3"/>
        <v>0.9503449527959332</v>
      </c>
      <c r="U19" s="60">
        <f>AVERAGE(O19:T19)</f>
        <v>0.8895037972583224</v>
      </c>
      <c r="V19" s="60">
        <f>STDEV(O19:T19)/SQRT(6)</f>
        <v>0.05819410211795787</v>
      </c>
    </row>
    <row r="20" spans="15:22" ht="15">
      <c r="O20" s="9"/>
      <c r="P20" s="9"/>
      <c r="Q20" s="9"/>
      <c r="R20" s="9"/>
      <c r="S20" s="9"/>
      <c r="T20" s="93"/>
      <c r="U20" s="60"/>
      <c r="V20" s="60"/>
    </row>
    <row r="21" spans="2:22" ht="15">
      <c r="B21" s="49" t="s">
        <v>199</v>
      </c>
      <c r="M21" t="s">
        <v>101</v>
      </c>
      <c r="O21" s="9">
        <f>P8*0.368/39</f>
        <v>78.72369230769232</v>
      </c>
      <c r="P21" s="9">
        <f>P8*0.368/39</f>
        <v>78.72369230769232</v>
      </c>
      <c r="Q21" s="9">
        <f>R8*0.368/39</f>
        <v>74.91158974358974</v>
      </c>
      <c r="R21" s="9">
        <f>R8*0.368/39</f>
        <v>74.91158974358974</v>
      </c>
      <c r="S21" s="9">
        <f>T8*0.368/39</f>
        <v>85.15897435897435</v>
      </c>
      <c r="T21" s="93">
        <f>T8*0.368/39</f>
        <v>85.15897435897435</v>
      </c>
      <c r="U21" s="60">
        <f>AVERAGE(O21:T21)</f>
        <v>79.59808547008545</v>
      </c>
      <c r="V21" s="60">
        <f>STDEV(O21:T21)/SQRT(6)</f>
        <v>1.8912304783126401</v>
      </c>
    </row>
    <row r="22" spans="2:22" ht="15">
      <c r="B22" t="s">
        <v>92</v>
      </c>
      <c r="C22" s="47">
        <v>1</v>
      </c>
      <c r="D22" s="47">
        <v>2</v>
      </c>
      <c r="E22" s="47">
        <v>3</v>
      </c>
      <c r="F22" s="47">
        <v>4</v>
      </c>
      <c r="G22" s="47">
        <v>5</v>
      </c>
      <c r="H22" s="47">
        <v>6</v>
      </c>
      <c r="I22" s="47" t="s">
        <v>61</v>
      </c>
      <c r="J22" s="47" t="s">
        <v>62</v>
      </c>
      <c r="O22" s="9"/>
      <c r="P22" s="9"/>
      <c r="Q22" s="9"/>
      <c r="R22" s="9"/>
      <c r="S22" s="9"/>
      <c r="T22" s="93"/>
      <c r="U22" s="60"/>
      <c r="V22" s="60"/>
    </row>
    <row r="23" spans="11:22" ht="15">
      <c r="K23" t="s">
        <v>200</v>
      </c>
      <c r="M23" t="s">
        <v>102</v>
      </c>
      <c r="O23" s="9">
        <f>P8*0.4869/17</f>
        <v>238.95333529411766</v>
      </c>
      <c r="P23" s="9">
        <f>P8*0.4869/17</f>
        <v>238.95333529411766</v>
      </c>
      <c r="Q23" s="9">
        <f>R8*0.4869/17</f>
        <v>227.3823</v>
      </c>
      <c r="R23" s="9">
        <f>R8*0.4869/17</f>
        <v>227.3823</v>
      </c>
      <c r="S23" s="9">
        <f>T8*0.4869/17</f>
        <v>258.48661764705884</v>
      </c>
      <c r="T23" s="93">
        <f>T8*0.4869/17</f>
        <v>258.48661764705884</v>
      </c>
      <c r="U23" s="60">
        <f>AVERAGE(O23:T23)</f>
        <v>241.60741764705884</v>
      </c>
      <c r="V23" s="60">
        <f>STDEV(O23:T23)/SQRT(6)</f>
        <v>5.7405314379352435</v>
      </c>
    </row>
    <row r="24" spans="20:22" ht="15">
      <c r="T24" s="97"/>
      <c r="U24" s="47"/>
      <c r="V24" s="47"/>
    </row>
    <row r="25" spans="2:22" ht="15">
      <c r="B25">
        <v>1</v>
      </c>
      <c r="C25">
        <v>100</v>
      </c>
      <c r="D25">
        <v>100</v>
      </c>
      <c r="E25">
        <v>100</v>
      </c>
      <c r="F25">
        <v>100</v>
      </c>
      <c r="G25">
        <v>100</v>
      </c>
      <c r="H25">
        <v>100</v>
      </c>
      <c r="I25">
        <v>100</v>
      </c>
      <c r="J25">
        <v>0</v>
      </c>
      <c r="K25">
        <v>1</v>
      </c>
      <c r="M25" s="29" t="s">
        <v>202</v>
      </c>
      <c r="O25">
        <v>591.285</v>
      </c>
      <c r="P25">
        <v>591.285</v>
      </c>
      <c r="Q25">
        <v>562.7199999999999</v>
      </c>
      <c r="R25">
        <v>562.7199999999999</v>
      </c>
      <c r="S25">
        <v>639.645</v>
      </c>
      <c r="T25" s="97">
        <v>639.645</v>
      </c>
      <c r="U25" s="60">
        <f>AVERAGE(O25:T25)</f>
        <v>597.8833333333333</v>
      </c>
      <c r="V25" s="60">
        <f>STDEV(O25:T25)/SQRT(6)</f>
        <v>14.198673216576116</v>
      </c>
    </row>
    <row r="26" spans="2:22" ht="15">
      <c r="B26">
        <v>3</v>
      </c>
      <c r="C26" s="9">
        <v>100.51413881748071</v>
      </c>
      <c r="D26" s="9">
        <v>100.28169014084507</v>
      </c>
      <c r="E26" s="9">
        <v>101.42450142450143</v>
      </c>
      <c r="F26" s="9">
        <v>101.19047619047619</v>
      </c>
      <c r="G26" s="9">
        <v>102.79329608938548</v>
      </c>
      <c r="H26" s="9">
        <v>102.9940119760479</v>
      </c>
      <c r="I26" s="9">
        <v>101.53301910645614</v>
      </c>
      <c r="J26" s="9">
        <v>0.4638911940933189</v>
      </c>
      <c r="K26">
        <v>3</v>
      </c>
      <c r="T26" s="97"/>
      <c r="U26" s="47"/>
      <c r="V26" s="47"/>
    </row>
    <row r="27" spans="2:22" ht="15">
      <c r="B27">
        <v>5</v>
      </c>
      <c r="C27" s="9">
        <v>101.2853470437018</v>
      </c>
      <c r="D27" s="9">
        <v>100.84507042253522</v>
      </c>
      <c r="E27" s="9">
        <v>102.27920227920228</v>
      </c>
      <c r="F27" s="9">
        <v>102.67857142857143</v>
      </c>
      <c r="G27" s="9">
        <v>104.18994413407822</v>
      </c>
      <c r="H27" s="9">
        <v>103.2934131736527</v>
      </c>
      <c r="I27" s="9">
        <v>102.42859141362361</v>
      </c>
      <c r="J27" s="9">
        <v>0.508253008596004</v>
      </c>
      <c r="K27">
        <v>5</v>
      </c>
      <c r="M27" s="29" t="s">
        <v>203</v>
      </c>
      <c r="O27" s="29">
        <f>P8/O25</f>
        <v>14.109946979882798</v>
      </c>
      <c r="P27" s="29">
        <f>P8/P25</f>
        <v>14.109946979882798</v>
      </c>
      <c r="Q27" s="29">
        <f>R8/Q25</f>
        <v>14.108259880580041</v>
      </c>
      <c r="R27" s="29">
        <f>R8/R25</f>
        <v>14.108259880580041</v>
      </c>
      <c r="S27" s="29">
        <f>T8/S25</f>
        <v>14.109388801600888</v>
      </c>
      <c r="T27" s="97">
        <f>T8/T25</f>
        <v>14.109388801600888</v>
      </c>
      <c r="U27" s="60">
        <f>AVERAGE(O27:T27)</f>
        <v>14.109198554021242</v>
      </c>
      <c r="V27" s="60">
        <f>STDEV(O27:T27)/SQRT(6)</f>
        <v>0.00031384106816694554</v>
      </c>
    </row>
    <row r="28" spans="2:20" ht="15">
      <c r="B28">
        <v>8</v>
      </c>
      <c r="C28" s="9">
        <v>104.62724935732648</v>
      </c>
      <c r="D28" s="9">
        <v>102.8169014084507</v>
      </c>
      <c r="E28" s="9">
        <v>105.98290598290598</v>
      </c>
      <c r="F28" s="9">
        <v>103.27380952380952</v>
      </c>
      <c r="G28" s="9">
        <v>106.98324022346368</v>
      </c>
      <c r="H28" s="9">
        <v>105.38922155688623</v>
      </c>
      <c r="I28" s="9">
        <v>104.84555467547376</v>
      </c>
      <c r="J28" s="9">
        <v>0.653001155896219</v>
      </c>
      <c r="K28">
        <v>8</v>
      </c>
      <c r="T28" s="97"/>
    </row>
    <row r="29" spans="2:22" ht="15">
      <c r="B29">
        <v>10</v>
      </c>
      <c r="C29" s="9">
        <v>106.16966580976863</v>
      </c>
      <c r="D29" s="9">
        <v>103.94366197183099</v>
      </c>
      <c r="E29" s="9">
        <v>107.6923076923077</v>
      </c>
      <c r="F29" s="9">
        <v>104.46428571428571</v>
      </c>
      <c r="G29" s="9">
        <v>109.77653631284916</v>
      </c>
      <c r="H29" s="9">
        <v>107.48502994011976</v>
      </c>
      <c r="I29" s="9">
        <v>106.58858124019366</v>
      </c>
      <c r="J29" s="9">
        <v>0.8919755126188115</v>
      </c>
      <c r="K29">
        <v>10</v>
      </c>
      <c r="M29" s="86" t="s">
        <v>228</v>
      </c>
      <c r="O29" s="9">
        <f>O17*17</f>
        <v>1209.735</v>
      </c>
      <c r="P29" s="9">
        <f>P17*17</f>
        <v>1209.735</v>
      </c>
      <c r="Q29" s="9">
        <f>Q17*17</f>
        <v>1151.155</v>
      </c>
      <c r="R29" s="9">
        <f>R17*17</f>
        <v>1151.155</v>
      </c>
      <c r="S29" s="9">
        <f>S17*17</f>
        <v>1308.625</v>
      </c>
      <c r="T29" s="93">
        <f>T17*17</f>
        <v>1308.625</v>
      </c>
      <c r="U29" s="9">
        <f aca="true" t="shared" si="4" ref="U29:U34">AVERAGE(O29:T29)</f>
        <v>1223.1716666666666</v>
      </c>
      <c r="V29" s="75">
        <f aca="true" t="shared" si="5" ref="V29:V34">STDEV(O29:T29)/SQRT(6)</f>
        <v>29.062250964285994</v>
      </c>
    </row>
    <row r="30" spans="2:22" ht="15">
      <c r="B30">
        <v>12</v>
      </c>
      <c r="C30" s="9">
        <v>107.7120822622108</v>
      </c>
      <c r="D30" s="9">
        <v>106.19718309859155</v>
      </c>
      <c r="E30" s="9">
        <v>109.68660968660969</v>
      </c>
      <c r="F30" s="9">
        <v>105.6547619047619</v>
      </c>
      <c r="G30" s="9">
        <v>112.84916201117318</v>
      </c>
      <c r="H30" s="9">
        <v>109.2814371257485</v>
      </c>
      <c r="I30" s="9">
        <v>108.56353934818263</v>
      </c>
      <c r="J30" s="9">
        <v>1.0790247618129585</v>
      </c>
      <c r="K30">
        <v>12</v>
      </c>
      <c r="M30" s="94" t="s">
        <v>229</v>
      </c>
      <c r="O30" s="9">
        <f>O29/30</f>
        <v>40.32449999999999</v>
      </c>
      <c r="P30" s="9">
        <f>P29/30</f>
        <v>40.32449999999999</v>
      </c>
      <c r="Q30" s="9">
        <f>Q29/30</f>
        <v>38.371833333333335</v>
      </c>
      <c r="R30" s="9">
        <f>R29/30</f>
        <v>38.371833333333335</v>
      </c>
      <c r="S30" s="9">
        <f>S29/30</f>
        <v>43.62083333333333</v>
      </c>
      <c r="T30" s="93">
        <f>T29/30</f>
        <v>43.62083333333333</v>
      </c>
      <c r="U30" s="9">
        <f t="shared" si="4"/>
        <v>40.77238888888889</v>
      </c>
      <c r="V30" s="75">
        <f t="shared" si="5"/>
        <v>0.9687416988094956</v>
      </c>
    </row>
    <row r="31" spans="2:22" ht="15">
      <c r="B31">
        <v>15</v>
      </c>
      <c r="C31" s="9">
        <v>111.05398457583547</v>
      </c>
      <c r="D31" s="9">
        <v>109.01408450704226</v>
      </c>
      <c r="E31" s="9">
        <v>112.82051282051282</v>
      </c>
      <c r="F31" s="9">
        <v>107.14285714285714</v>
      </c>
      <c r="G31" s="9">
        <v>113.96648044692738</v>
      </c>
      <c r="H31" s="9">
        <v>111.97604790419162</v>
      </c>
      <c r="I31" s="9">
        <v>110.99566123289445</v>
      </c>
      <c r="J31" s="9">
        <v>1.0310375911920875</v>
      </c>
      <c r="K31">
        <v>15</v>
      </c>
      <c r="M31" s="86" t="s">
        <v>230</v>
      </c>
      <c r="O31" s="9">
        <f>O21*38</f>
        <v>2991.500307692308</v>
      </c>
      <c r="P31" s="9">
        <f>P21*38</f>
        <v>2991.500307692308</v>
      </c>
      <c r="Q31" s="9">
        <f>Q21*38</f>
        <v>2846.64041025641</v>
      </c>
      <c r="R31" s="9">
        <f>R21*38</f>
        <v>2846.64041025641</v>
      </c>
      <c r="S31" s="9">
        <f>S21*38</f>
        <v>3236.041025641025</v>
      </c>
      <c r="T31" s="93">
        <f>T21*38</f>
        <v>3236.041025641025</v>
      </c>
      <c r="U31" s="9">
        <f t="shared" si="4"/>
        <v>3024.7272478632476</v>
      </c>
      <c r="V31" s="75">
        <f t="shared" si="5"/>
        <v>71.86675817587427</v>
      </c>
    </row>
    <row r="32" spans="2:22" ht="15">
      <c r="B32">
        <v>19</v>
      </c>
      <c r="C32" s="9">
        <v>114.65295629820051</v>
      </c>
      <c r="D32" s="9">
        <v>110.70422535211267</v>
      </c>
      <c r="E32" s="9">
        <v>116.80911680911682</v>
      </c>
      <c r="F32" s="9">
        <v>111.9047619047619</v>
      </c>
      <c r="G32" s="9">
        <v>121.22905027932961</v>
      </c>
      <c r="H32" s="9">
        <v>117.36526946107784</v>
      </c>
      <c r="I32" s="9">
        <v>115.44423001743321</v>
      </c>
      <c r="J32" s="9">
        <v>1.5773294604830765</v>
      </c>
      <c r="K32">
        <v>19</v>
      </c>
      <c r="M32" s="95" t="s">
        <v>231</v>
      </c>
      <c r="O32" s="9">
        <f aca="true" t="shared" si="6" ref="O32:T32">O31/30</f>
        <v>99.71667692307693</v>
      </c>
      <c r="P32" s="9">
        <f t="shared" si="6"/>
        <v>99.71667692307693</v>
      </c>
      <c r="Q32" s="9">
        <f t="shared" si="6"/>
        <v>94.88801367521367</v>
      </c>
      <c r="R32" s="9">
        <f t="shared" si="6"/>
        <v>94.88801367521367</v>
      </c>
      <c r="S32" s="9">
        <f t="shared" si="6"/>
        <v>107.86803418803417</v>
      </c>
      <c r="T32" s="93">
        <f t="shared" si="6"/>
        <v>107.86803418803417</v>
      </c>
      <c r="U32" s="9">
        <f t="shared" si="4"/>
        <v>100.82424159544159</v>
      </c>
      <c r="V32" s="75">
        <f t="shared" si="5"/>
        <v>2.395558605862557</v>
      </c>
    </row>
    <row r="33" spans="2:22" ht="15">
      <c r="B33">
        <v>22</v>
      </c>
      <c r="C33" s="9">
        <v>117.22365038560412</v>
      </c>
      <c r="D33" s="9">
        <v>114.08450704225352</v>
      </c>
      <c r="E33" s="9">
        <v>119.65811965811966</v>
      </c>
      <c r="F33" s="9">
        <v>114.88095238095238</v>
      </c>
      <c r="G33" s="9">
        <v>122.90502793296089</v>
      </c>
      <c r="H33" s="9">
        <v>120.35928143712574</v>
      </c>
      <c r="I33" s="9">
        <v>118.18525647283606</v>
      </c>
      <c r="J33" s="9">
        <v>1.3884188949397867</v>
      </c>
      <c r="K33">
        <v>22</v>
      </c>
      <c r="M33" s="86" t="s">
        <v>232</v>
      </c>
      <c r="O33" s="9">
        <f>O23*17</f>
        <v>4062.2067</v>
      </c>
      <c r="P33" s="9">
        <f>P23*17</f>
        <v>4062.2067</v>
      </c>
      <c r="Q33" s="9">
        <f>Q23*17</f>
        <v>3865.4991</v>
      </c>
      <c r="R33" s="9">
        <f>R23*17</f>
        <v>3865.4991</v>
      </c>
      <c r="S33" s="9">
        <f>S23*17</f>
        <v>4394.2725</v>
      </c>
      <c r="T33" s="93">
        <f>T23*17</f>
        <v>4394.2725</v>
      </c>
      <c r="U33" s="9">
        <f t="shared" si="4"/>
        <v>4107.326099999999</v>
      </c>
      <c r="V33" s="75">
        <f t="shared" si="5"/>
        <v>97.58903444490255</v>
      </c>
    </row>
    <row r="34" spans="2:22" ht="15">
      <c r="B34">
        <v>25</v>
      </c>
      <c r="C34" s="9">
        <v>119.02313624678663</v>
      </c>
      <c r="D34" s="9">
        <v>115.21126760563381</v>
      </c>
      <c r="E34" s="9">
        <v>121.08262108262109</v>
      </c>
      <c r="F34" s="9">
        <v>115.47619047619048</v>
      </c>
      <c r="G34" s="9">
        <v>125.69832402234637</v>
      </c>
      <c r="H34" s="9">
        <v>122.1556886227545</v>
      </c>
      <c r="I34" s="9">
        <v>119.77453800938882</v>
      </c>
      <c r="J34" s="9">
        <v>1.6566636472147713</v>
      </c>
      <c r="K34">
        <v>25</v>
      </c>
      <c r="M34" s="95" t="s">
        <v>233</v>
      </c>
      <c r="O34" s="9">
        <f aca="true" t="shared" si="7" ref="O34:T34">O33/30</f>
        <v>135.40689</v>
      </c>
      <c r="P34" s="9">
        <f t="shared" si="7"/>
        <v>135.40689</v>
      </c>
      <c r="Q34" s="9">
        <f t="shared" si="7"/>
        <v>128.84997</v>
      </c>
      <c r="R34" s="9">
        <f t="shared" si="7"/>
        <v>128.84997</v>
      </c>
      <c r="S34" s="9">
        <f t="shared" si="7"/>
        <v>146.47575</v>
      </c>
      <c r="T34" s="93">
        <f t="shared" si="7"/>
        <v>146.47575</v>
      </c>
      <c r="U34" s="9">
        <f t="shared" si="4"/>
        <v>136.91087000000002</v>
      </c>
      <c r="V34" s="75">
        <f t="shared" si="5"/>
        <v>3.2529678148300607</v>
      </c>
    </row>
    <row r="35" spans="2:11" ht="15">
      <c r="B35">
        <v>26</v>
      </c>
      <c r="C35" s="9">
        <v>120.05141388174808</v>
      </c>
      <c r="D35" s="9">
        <v>116.61971830985915</v>
      </c>
      <c r="E35" s="9">
        <v>122.22222222222223</v>
      </c>
      <c r="F35" s="9">
        <v>116.66666666666667</v>
      </c>
      <c r="G35" s="9">
        <v>127.09497206703911</v>
      </c>
      <c r="H35" s="9">
        <v>123.05389221556887</v>
      </c>
      <c r="I35" s="9">
        <v>120.9514808938507</v>
      </c>
      <c r="J35" s="9">
        <v>1.650366841605762</v>
      </c>
      <c r="K35">
        <v>26</v>
      </c>
    </row>
    <row r="36" spans="2:11" ht="15">
      <c r="B36">
        <v>30</v>
      </c>
      <c r="C36" s="9">
        <v>122.87917737789203</v>
      </c>
      <c r="D36" s="9">
        <v>119.43661971830986</v>
      </c>
      <c r="E36" s="9">
        <v>124.78632478632478</v>
      </c>
      <c r="F36" s="9">
        <v>119.04761904761905</v>
      </c>
      <c r="G36" s="9">
        <v>129.88826815642457</v>
      </c>
      <c r="H36" s="9">
        <v>124.25149700598803</v>
      </c>
      <c r="I36" s="9">
        <v>123.3815843487597</v>
      </c>
      <c r="J36" s="9">
        <v>1.6295745030781674</v>
      </c>
      <c r="K36">
        <v>30</v>
      </c>
    </row>
    <row r="39" ht="15">
      <c r="A39" s="48" t="s">
        <v>89</v>
      </c>
    </row>
    <row r="40" ht="15">
      <c r="A40" s="48" t="s">
        <v>103</v>
      </c>
    </row>
    <row r="41" ht="15">
      <c r="B41" s="49" t="s">
        <v>198</v>
      </c>
    </row>
    <row r="42" spans="2:11" ht="15">
      <c r="B42" t="s">
        <v>91</v>
      </c>
      <c r="C42" s="47">
        <v>7</v>
      </c>
      <c r="D42" s="47">
        <v>8</v>
      </c>
      <c r="E42" s="47">
        <v>9</v>
      </c>
      <c r="F42" s="47">
        <v>10</v>
      </c>
      <c r="G42" s="47">
        <v>11</v>
      </c>
      <c r="H42" s="47">
        <v>12</v>
      </c>
      <c r="I42" s="47" t="s">
        <v>61</v>
      </c>
      <c r="J42" s="47" t="s">
        <v>62</v>
      </c>
      <c r="K42" s="47" t="s">
        <v>200</v>
      </c>
    </row>
    <row r="44" spans="3:22" ht="15">
      <c r="C44">
        <v>231</v>
      </c>
      <c r="D44">
        <v>228</v>
      </c>
      <c r="E44">
        <v>237</v>
      </c>
      <c r="F44">
        <v>247</v>
      </c>
      <c r="G44">
        <v>226</v>
      </c>
      <c r="H44">
        <v>230</v>
      </c>
      <c r="I44" s="7">
        <f aca="true" t="shared" si="8" ref="I44:I57">AVERAGE(C44:H44)</f>
        <v>233.16666666666666</v>
      </c>
      <c r="J44" s="7">
        <f aca="true" t="shared" si="9" ref="J44:J57">STDEV(C44:H44)/SQRT(6)</f>
        <v>3.1561227972166206</v>
      </c>
      <c r="O44" s="47">
        <v>7</v>
      </c>
      <c r="P44" s="47">
        <v>8</v>
      </c>
      <c r="Q44" s="47">
        <v>9</v>
      </c>
      <c r="R44" s="47">
        <v>10</v>
      </c>
      <c r="S44" s="47">
        <v>11</v>
      </c>
      <c r="T44" s="47">
        <v>12</v>
      </c>
      <c r="U44" s="47" t="s">
        <v>61</v>
      </c>
      <c r="V44" s="47" t="s">
        <v>62</v>
      </c>
    </row>
    <row r="45" spans="3:11" ht="15">
      <c r="C45">
        <v>234</v>
      </c>
      <c r="D45">
        <v>224</v>
      </c>
      <c r="E45">
        <v>240</v>
      </c>
      <c r="F45">
        <v>250</v>
      </c>
      <c r="G45">
        <v>223</v>
      </c>
      <c r="H45">
        <v>237</v>
      </c>
      <c r="I45" s="7">
        <f t="shared" si="8"/>
        <v>234.66666666666666</v>
      </c>
      <c r="J45" s="7">
        <f t="shared" si="9"/>
        <v>4.16066234043457</v>
      </c>
      <c r="K45">
        <v>1</v>
      </c>
    </row>
    <row r="46" spans="3:22" ht="15">
      <c r="C46">
        <v>235</v>
      </c>
      <c r="D46">
        <v>225</v>
      </c>
      <c r="E46">
        <v>233</v>
      </c>
      <c r="F46">
        <v>249</v>
      </c>
      <c r="G46">
        <v>230</v>
      </c>
      <c r="H46">
        <v>236</v>
      </c>
      <c r="I46" s="7">
        <f t="shared" si="8"/>
        <v>234.66666666666666</v>
      </c>
      <c r="J46" s="7">
        <f t="shared" si="9"/>
        <v>3.2930904093941606</v>
      </c>
      <c r="K46">
        <v>2</v>
      </c>
      <c r="M46" t="s">
        <v>93</v>
      </c>
      <c r="O46">
        <f aca="true" t="shared" si="10" ref="O46:T46">C57-C45</f>
        <v>29</v>
      </c>
      <c r="P46">
        <f t="shared" si="10"/>
        <v>32</v>
      </c>
      <c r="Q46">
        <f t="shared" si="10"/>
        <v>25</v>
      </c>
      <c r="R46">
        <f t="shared" si="10"/>
        <v>24</v>
      </c>
      <c r="S46">
        <f t="shared" si="10"/>
        <v>32</v>
      </c>
      <c r="T46">
        <f t="shared" si="10"/>
        <v>23</v>
      </c>
      <c r="U46" s="47">
        <f>AVERAGE(O46:T46)</f>
        <v>27.5</v>
      </c>
      <c r="V46" s="47">
        <f>STDEV(O46:T46)/SQRT(6)</f>
        <v>1.6482313753434823</v>
      </c>
    </row>
    <row r="47" spans="3:22" ht="15">
      <c r="C47">
        <v>234</v>
      </c>
      <c r="D47">
        <v>227</v>
      </c>
      <c r="E47">
        <v>239</v>
      </c>
      <c r="F47">
        <v>254</v>
      </c>
      <c r="G47">
        <v>229</v>
      </c>
      <c r="H47">
        <v>235</v>
      </c>
      <c r="I47" s="7">
        <f t="shared" si="8"/>
        <v>236.33333333333334</v>
      </c>
      <c r="J47" s="7">
        <f t="shared" si="9"/>
        <v>3.946869364164101</v>
      </c>
      <c r="K47">
        <v>4</v>
      </c>
      <c r="M47" t="s">
        <v>95</v>
      </c>
      <c r="O47" s="9">
        <f aca="true" t="shared" si="11" ref="O47:T47">O46*100/C44</f>
        <v>12.554112554112555</v>
      </c>
      <c r="P47" s="9">
        <f t="shared" si="11"/>
        <v>14.035087719298245</v>
      </c>
      <c r="Q47" s="9">
        <f t="shared" si="11"/>
        <v>10.548523206751055</v>
      </c>
      <c r="R47" s="9">
        <f t="shared" si="11"/>
        <v>9.7165991902834</v>
      </c>
      <c r="S47" s="9">
        <f t="shared" si="11"/>
        <v>14.15929203539823</v>
      </c>
      <c r="T47" s="9">
        <f t="shared" si="11"/>
        <v>10</v>
      </c>
      <c r="U47" s="60">
        <f>AVERAGE(O47:T47)</f>
        <v>11.835602450973914</v>
      </c>
      <c r="V47" s="60">
        <f>STDEV(O47:T47)/SQRT(6)</f>
        <v>0.8219835695113387</v>
      </c>
    </row>
    <row r="48" spans="3:22" ht="15">
      <c r="C48" s="6">
        <v>243</v>
      </c>
      <c r="D48" s="6">
        <v>225</v>
      </c>
      <c r="E48" s="6">
        <v>244</v>
      </c>
      <c r="F48" s="6">
        <v>259</v>
      </c>
      <c r="G48" s="6">
        <v>237</v>
      </c>
      <c r="H48" s="6">
        <v>243</v>
      </c>
      <c r="I48" s="50">
        <f t="shared" si="8"/>
        <v>241.83333333333334</v>
      </c>
      <c r="J48" s="7">
        <f t="shared" si="9"/>
        <v>4.504935564960259</v>
      </c>
      <c r="K48">
        <v>7</v>
      </c>
      <c r="M48" t="s">
        <v>94</v>
      </c>
      <c r="P48">
        <v>5700</v>
      </c>
      <c r="R48">
        <v>6200</v>
      </c>
      <c r="T48">
        <v>5944</v>
      </c>
      <c r="U48" s="47">
        <f>AVERAGE(O48:T48)</f>
        <v>5948</v>
      </c>
      <c r="V48" s="47">
        <f>STDEV(O48:T48)/SQRT(6)</f>
        <v>102.07187010468002</v>
      </c>
    </row>
    <row r="49" spans="3:22" ht="15">
      <c r="C49" s="6">
        <v>241</v>
      </c>
      <c r="D49" s="6">
        <v>229</v>
      </c>
      <c r="E49" s="6">
        <v>246</v>
      </c>
      <c r="F49" s="6">
        <v>261</v>
      </c>
      <c r="G49" s="6">
        <v>238</v>
      </c>
      <c r="H49" s="6">
        <v>248</v>
      </c>
      <c r="I49" s="50">
        <f t="shared" si="8"/>
        <v>243.83333333333334</v>
      </c>
      <c r="J49" s="7">
        <f t="shared" si="9"/>
        <v>4.392544188103724</v>
      </c>
      <c r="K49">
        <v>9</v>
      </c>
      <c r="M49" s="73" t="s">
        <v>210</v>
      </c>
      <c r="N49" s="73"/>
      <c r="O49" s="73"/>
      <c r="P49" s="73">
        <f>P48/30</f>
        <v>190</v>
      </c>
      <c r="Q49" s="73"/>
      <c r="R49" s="73">
        <f>R48/30</f>
        <v>206.66666666666666</v>
      </c>
      <c r="S49" s="73"/>
      <c r="T49" s="73">
        <f>T48/30</f>
        <v>198.13333333333333</v>
      </c>
      <c r="U49" s="60">
        <f>AVERAGE(O49:T49)</f>
        <v>198.26666666666665</v>
      </c>
      <c r="V49" s="60">
        <f>STDEV(O49:T49)/SQRT(6)</f>
        <v>3.4023956701562645</v>
      </c>
    </row>
    <row r="50" spans="3:22" ht="15">
      <c r="C50" s="6">
        <v>247</v>
      </c>
      <c r="D50" s="6">
        <v>229</v>
      </c>
      <c r="E50" s="6">
        <v>249</v>
      </c>
      <c r="F50" s="6">
        <v>266</v>
      </c>
      <c r="G50" s="6">
        <v>245</v>
      </c>
      <c r="H50" s="6">
        <v>251</v>
      </c>
      <c r="I50" s="50">
        <f t="shared" si="8"/>
        <v>247.83333333333334</v>
      </c>
      <c r="J50" s="7">
        <f t="shared" si="9"/>
        <v>4.847106811742836</v>
      </c>
      <c r="K50">
        <v>11</v>
      </c>
      <c r="M50" s="73" t="s">
        <v>211</v>
      </c>
      <c r="N50" s="73"/>
      <c r="O50" s="73"/>
      <c r="P50" s="73">
        <f>P49/4.184</f>
        <v>45.411089866156786</v>
      </c>
      <c r="Q50" s="73"/>
      <c r="R50" s="73">
        <f>R49/4.184</f>
        <v>49.39451880178457</v>
      </c>
      <c r="S50" s="73"/>
      <c r="T50" s="73">
        <f>T49/4.184</f>
        <v>47.35500318674315</v>
      </c>
      <c r="U50" s="60">
        <f>AVERAGE(O50:T50)</f>
        <v>47.386870618228166</v>
      </c>
      <c r="V50" s="60">
        <f>STDEV(O50:T50)/SQRT(6)</f>
        <v>0.8131920817772842</v>
      </c>
    </row>
    <row r="51" spans="3:22" ht="15">
      <c r="C51" s="6">
        <v>250</v>
      </c>
      <c r="D51" s="6">
        <v>238</v>
      </c>
      <c r="E51" s="6">
        <v>251</v>
      </c>
      <c r="F51" s="6">
        <v>260</v>
      </c>
      <c r="G51" s="6">
        <v>248</v>
      </c>
      <c r="H51" s="6">
        <v>259</v>
      </c>
      <c r="I51" s="50">
        <f t="shared" si="8"/>
        <v>251</v>
      </c>
      <c r="J51" s="7">
        <f t="shared" si="9"/>
        <v>3.286335345030997</v>
      </c>
      <c r="K51">
        <v>14</v>
      </c>
      <c r="U51" s="47"/>
      <c r="V51" s="47"/>
    </row>
    <row r="52" spans="3:22" ht="15">
      <c r="C52" s="6">
        <v>254</v>
      </c>
      <c r="D52" s="6">
        <v>242</v>
      </c>
      <c r="E52" s="6">
        <v>256</v>
      </c>
      <c r="F52" s="6">
        <v>264</v>
      </c>
      <c r="G52" s="6">
        <v>249</v>
      </c>
      <c r="H52" s="6">
        <v>260</v>
      </c>
      <c r="I52" s="50">
        <f t="shared" si="8"/>
        <v>254.16666666666666</v>
      </c>
      <c r="J52" s="7">
        <f t="shared" si="9"/>
        <v>3.2084956668887368</v>
      </c>
      <c r="K52">
        <v>18</v>
      </c>
      <c r="M52" t="s">
        <v>90</v>
      </c>
      <c r="O52" s="9">
        <f>P48/O46</f>
        <v>196.55172413793105</v>
      </c>
      <c r="P52" s="9">
        <f>P48/P46</f>
        <v>178.125</v>
      </c>
      <c r="Q52" s="9">
        <f>R48/Q46</f>
        <v>248</v>
      </c>
      <c r="R52" s="9">
        <f>R48/R46</f>
        <v>258.3333333333333</v>
      </c>
      <c r="S52" s="9">
        <f>T48/S46</f>
        <v>185.75</v>
      </c>
      <c r="T52" s="9">
        <f>T48/T46</f>
        <v>258.4347826086956</v>
      </c>
      <c r="U52" s="60">
        <f>AVERAGE(O52:T52)</f>
        <v>220.86580667999337</v>
      </c>
      <c r="V52" s="60">
        <f>STDEV(O52:T52)/SQRT(6)</f>
        <v>15.494707695729543</v>
      </c>
    </row>
    <row r="53" spans="3:22" ht="15">
      <c r="C53" s="6">
        <v>254</v>
      </c>
      <c r="D53" s="6">
        <v>247</v>
      </c>
      <c r="E53" s="6">
        <v>263</v>
      </c>
      <c r="F53" s="6">
        <v>274</v>
      </c>
      <c r="G53" s="6">
        <v>245</v>
      </c>
      <c r="H53" s="6">
        <v>259</v>
      </c>
      <c r="I53" s="50">
        <f t="shared" si="8"/>
        <v>257</v>
      </c>
      <c r="J53" s="7">
        <f t="shared" si="9"/>
        <v>4.404543109109048</v>
      </c>
      <c r="K53">
        <v>21</v>
      </c>
      <c r="O53" s="9"/>
      <c r="P53" s="9"/>
      <c r="Q53" s="9"/>
      <c r="R53" s="9"/>
      <c r="S53" s="9"/>
      <c r="T53" s="9"/>
      <c r="U53" s="60"/>
      <c r="V53" s="60"/>
    </row>
    <row r="54" spans="3:22" ht="15">
      <c r="C54" s="6">
        <v>251</v>
      </c>
      <c r="D54" s="6">
        <v>248</v>
      </c>
      <c r="E54" s="6">
        <v>263</v>
      </c>
      <c r="F54" s="6">
        <v>276</v>
      </c>
      <c r="G54" s="6">
        <v>249</v>
      </c>
      <c r="H54" s="6">
        <v>258</v>
      </c>
      <c r="I54" s="50">
        <f t="shared" si="8"/>
        <v>257.5</v>
      </c>
      <c r="J54" s="7">
        <f t="shared" si="9"/>
        <v>4.387482193696061</v>
      </c>
      <c r="K54">
        <v>24</v>
      </c>
      <c r="M54" t="s">
        <v>97</v>
      </c>
      <c r="O54" s="9">
        <f aca="true" t="shared" si="12" ref="O54:T54">POWER(O46,0.75)</f>
        <v>12.496790764308276</v>
      </c>
      <c r="P54" s="9">
        <f t="shared" si="12"/>
        <v>13.454342644059432</v>
      </c>
      <c r="Q54" s="9">
        <f t="shared" si="12"/>
        <v>11.180339887498945</v>
      </c>
      <c r="R54" s="9">
        <f t="shared" si="12"/>
        <v>10.84322404331814</v>
      </c>
      <c r="S54" s="9">
        <f t="shared" si="12"/>
        <v>13.454342644059432</v>
      </c>
      <c r="T54" s="9">
        <f t="shared" si="12"/>
        <v>10.502577066424818</v>
      </c>
      <c r="U54" s="60">
        <f>AVERAGE(O54:T54)</f>
        <v>11.988602841611508</v>
      </c>
      <c r="V54" s="60">
        <f>STDEV(O54:T54)/SQRT(6)</f>
        <v>0.53939767336122</v>
      </c>
    </row>
    <row r="55" spans="3:22" ht="15">
      <c r="C55" s="6">
        <v>256</v>
      </c>
      <c r="D55" s="6">
        <v>252</v>
      </c>
      <c r="E55" s="6">
        <v>265</v>
      </c>
      <c r="F55" s="6">
        <v>276</v>
      </c>
      <c r="G55" s="6">
        <v>249</v>
      </c>
      <c r="H55" s="6">
        <v>263</v>
      </c>
      <c r="I55" s="50">
        <f t="shared" si="8"/>
        <v>260.1666666666667</v>
      </c>
      <c r="J55" s="7">
        <f t="shared" si="9"/>
        <v>4.044887033170453</v>
      </c>
      <c r="K55">
        <v>25</v>
      </c>
      <c r="M55" t="s">
        <v>96</v>
      </c>
      <c r="O55" s="9">
        <f>P48/O54</f>
        <v>456.1171029829199</v>
      </c>
      <c r="P55" s="9">
        <f>P48/P54</f>
        <v>423.6550347197194</v>
      </c>
      <c r="Q55" s="9">
        <f>R48/Q54</f>
        <v>554.544858419948</v>
      </c>
      <c r="R55" s="9">
        <f>R48/R54</f>
        <v>571.7856585118327</v>
      </c>
      <c r="S55" s="9">
        <f>T48/S54</f>
        <v>441.7904432235109</v>
      </c>
      <c r="T55" s="9">
        <f>T48/T54</f>
        <v>565.9563326606844</v>
      </c>
      <c r="U55" s="60">
        <f>AVERAGE(O55:T55)</f>
        <v>502.3082384197692</v>
      </c>
      <c r="V55" s="60">
        <f>STDEV(O55:T55)/SQRT(6)</f>
        <v>28.041164534089063</v>
      </c>
    </row>
    <row r="56" spans="3:22" ht="15">
      <c r="C56" s="6">
        <v>258</v>
      </c>
      <c r="D56" s="6">
        <v>260</v>
      </c>
      <c r="E56" s="6">
        <v>270</v>
      </c>
      <c r="F56" s="6">
        <v>278</v>
      </c>
      <c r="G56" s="6">
        <v>253</v>
      </c>
      <c r="H56" s="6">
        <v>267</v>
      </c>
      <c r="I56" s="50">
        <f t="shared" si="8"/>
        <v>264.3333333333333</v>
      </c>
      <c r="J56" s="7">
        <f t="shared" si="9"/>
        <v>3.711842908553261</v>
      </c>
      <c r="K56">
        <v>29</v>
      </c>
      <c r="O56" s="9"/>
      <c r="P56" s="9"/>
      <c r="Q56" s="9"/>
      <c r="R56" s="9"/>
      <c r="S56" s="9"/>
      <c r="T56" s="9"/>
      <c r="U56" s="60"/>
      <c r="V56" s="60"/>
    </row>
    <row r="57" spans="3:22" ht="15">
      <c r="C57" s="6">
        <v>263</v>
      </c>
      <c r="D57" s="6">
        <v>256</v>
      </c>
      <c r="E57" s="6">
        <v>265</v>
      </c>
      <c r="F57" s="6">
        <v>274</v>
      </c>
      <c r="G57" s="6">
        <v>255</v>
      </c>
      <c r="H57" s="6">
        <v>260</v>
      </c>
      <c r="I57" s="50">
        <f t="shared" si="8"/>
        <v>262.1666666666667</v>
      </c>
      <c r="J57" s="7">
        <f t="shared" si="9"/>
        <v>2.845073715115972</v>
      </c>
      <c r="K57">
        <v>30</v>
      </c>
      <c r="M57" t="s">
        <v>98</v>
      </c>
      <c r="O57" s="9">
        <f>P48*0.145/17</f>
        <v>48.61764705882352</v>
      </c>
      <c r="P57" s="9">
        <f>P48*0.145/17</f>
        <v>48.61764705882352</v>
      </c>
      <c r="Q57" s="9">
        <f>R48*0.145/17</f>
        <v>52.882352941176464</v>
      </c>
      <c r="R57" s="9">
        <f>R48*0.145/17</f>
        <v>52.882352941176464</v>
      </c>
      <c r="S57" s="9">
        <f>T48*0.145/17</f>
        <v>50.69882352941176</v>
      </c>
      <c r="T57" s="9">
        <f>T48*0.145/17</f>
        <v>50.69882352941176</v>
      </c>
      <c r="U57" s="60">
        <f>AVERAGE(O57:T57)</f>
        <v>50.73294117647058</v>
      </c>
      <c r="V57" s="60">
        <f>STDEV(O57:T57)/SQRT(6)</f>
        <v>0.7786999487285886</v>
      </c>
    </row>
    <row r="58" spans="15:22" ht="15">
      <c r="O58" s="9"/>
      <c r="P58" s="9"/>
      <c r="Q58" s="9"/>
      <c r="R58" s="9"/>
      <c r="S58" s="9"/>
      <c r="T58" s="9"/>
      <c r="U58" s="60"/>
      <c r="V58" s="60"/>
    </row>
    <row r="59" spans="13:22" ht="15">
      <c r="M59" t="s">
        <v>100</v>
      </c>
      <c r="O59" s="9">
        <f aca="true" t="shared" si="13" ref="O59:T59">O57/O46</f>
        <v>1.676470588235294</v>
      </c>
      <c r="P59" s="9">
        <f t="shared" si="13"/>
        <v>1.519301470588235</v>
      </c>
      <c r="Q59" s="9">
        <f t="shared" si="13"/>
        <v>2.1152941176470588</v>
      </c>
      <c r="R59" s="9">
        <f t="shared" si="13"/>
        <v>2.2034313725490193</v>
      </c>
      <c r="S59" s="9">
        <f t="shared" si="13"/>
        <v>1.5843382352941175</v>
      </c>
      <c r="T59" s="9">
        <f t="shared" si="13"/>
        <v>2.2042966751918156</v>
      </c>
      <c r="U59" s="60">
        <f>AVERAGE(O59:T59)</f>
        <v>1.8838554099175902</v>
      </c>
      <c r="V59" s="60">
        <f>STDEV(O59:T59)/SQRT(6)</f>
        <v>0.1321607421106347</v>
      </c>
    </row>
    <row r="60" spans="2:22" ht="15">
      <c r="B60" s="49" t="s">
        <v>199</v>
      </c>
      <c r="O60" s="9"/>
      <c r="P60" s="9"/>
      <c r="Q60" s="9"/>
      <c r="R60" s="9"/>
      <c r="S60" s="9"/>
      <c r="T60" s="9"/>
      <c r="U60" s="60"/>
      <c r="V60" s="60"/>
    </row>
    <row r="61" spans="2:22" ht="15">
      <c r="B61" t="s">
        <v>92</v>
      </c>
      <c r="C61" s="47">
        <v>7</v>
      </c>
      <c r="D61" s="47">
        <v>8</v>
      </c>
      <c r="E61" s="47">
        <v>9</v>
      </c>
      <c r="F61" s="47">
        <v>10</v>
      </c>
      <c r="G61" s="47">
        <v>11</v>
      </c>
      <c r="H61" s="47">
        <v>12</v>
      </c>
      <c r="I61" s="47" t="s">
        <v>61</v>
      </c>
      <c r="J61" s="47" t="s">
        <v>62</v>
      </c>
      <c r="M61" t="s">
        <v>101</v>
      </c>
      <c r="O61" s="9">
        <f>P48*0.368/39</f>
        <v>53.784615384615385</v>
      </c>
      <c r="P61" s="9">
        <f>P48*0.368/39</f>
        <v>53.784615384615385</v>
      </c>
      <c r="Q61" s="9">
        <f>R48*0.368/39</f>
        <v>58.5025641025641</v>
      </c>
      <c r="R61" s="9">
        <f>R48*0.368/39</f>
        <v>58.5025641025641</v>
      </c>
      <c r="S61" s="9">
        <f>T48*0.368/39</f>
        <v>56.08697435897435</v>
      </c>
      <c r="T61" s="9">
        <f>T48*0.368/39</f>
        <v>56.08697435897435</v>
      </c>
      <c r="U61" s="60">
        <f>AVERAGE(O61:T61)</f>
        <v>56.12471794871795</v>
      </c>
      <c r="V61" s="60">
        <f>STDEV(O61:T61)/SQRT(6)</f>
        <v>0.8614583340841113</v>
      </c>
    </row>
    <row r="62" spans="11:22" ht="15">
      <c r="K62" t="s">
        <v>200</v>
      </c>
      <c r="O62" s="9"/>
      <c r="P62" s="9"/>
      <c r="Q62" s="9"/>
      <c r="R62" s="9"/>
      <c r="S62" s="9"/>
      <c r="T62" s="9"/>
      <c r="U62" s="60"/>
      <c r="V62" s="60"/>
    </row>
    <row r="63" spans="13:22" ht="15">
      <c r="M63" t="s">
        <v>102</v>
      </c>
      <c r="O63" s="9">
        <f>P48*0.4869/17</f>
        <v>163.25470588235294</v>
      </c>
      <c r="P63" s="9">
        <f>P48*0.4869/17</f>
        <v>163.25470588235294</v>
      </c>
      <c r="Q63" s="9">
        <f>R48*0.4869/17</f>
        <v>177.57529411764708</v>
      </c>
      <c r="R63" s="9">
        <f>R48*0.4869/17</f>
        <v>177.57529411764708</v>
      </c>
      <c r="S63" s="9">
        <f>T48*0.4869/17</f>
        <v>170.24315294117648</v>
      </c>
      <c r="T63" s="9">
        <f>T48*0.4869/17</f>
        <v>170.24315294117648</v>
      </c>
      <c r="U63" s="60">
        <f>AVERAGE(O63:T63)</f>
        <v>170.35771764705885</v>
      </c>
      <c r="V63" s="60">
        <f>STDEV(O63:T63)/SQRT(6)</f>
        <v>2.6148207243856385</v>
      </c>
    </row>
    <row r="64" spans="2:22" ht="15">
      <c r="B64">
        <v>1</v>
      </c>
      <c r="C64" s="9">
        <f aca="true" t="shared" si="14" ref="C64:H76">C45*100/D$6</f>
        <v>65.91549295774648</v>
      </c>
      <c r="D64" s="9">
        <f t="shared" si="14"/>
        <v>63.81766381766382</v>
      </c>
      <c r="E64" s="9">
        <f t="shared" si="14"/>
        <v>71.42857142857143</v>
      </c>
      <c r="F64" s="9">
        <f t="shared" si="14"/>
        <v>69.83240223463687</v>
      </c>
      <c r="G64" s="9">
        <f t="shared" si="14"/>
        <v>66.76646706586827</v>
      </c>
      <c r="H64" s="9">
        <f t="shared" si="14"/>
        <v>66.98068770607631</v>
      </c>
      <c r="I64" s="10">
        <f aca="true" t="shared" si="15" ref="I64:I75">AVERAGE(C64:H64)</f>
        <v>67.4568808684272</v>
      </c>
      <c r="J64" s="9">
        <f aca="true" t="shared" si="16" ref="J64:J75">STDEV(C64:H64)/SQRT(6)</f>
        <v>1.121615445793109</v>
      </c>
      <c r="K64">
        <v>1</v>
      </c>
      <c r="U64" s="47"/>
      <c r="V64" s="47"/>
    </row>
    <row r="65" spans="2:22" ht="15">
      <c r="B65">
        <v>2</v>
      </c>
      <c r="C65" s="9">
        <f t="shared" si="14"/>
        <v>66.19718309859155</v>
      </c>
      <c r="D65" s="9">
        <f t="shared" si="14"/>
        <v>64.1025641025641</v>
      </c>
      <c r="E65" s="9">
        <f t="shared" si="14"/>
        <v>69.3452380952381</v>
      </c>
      <c r="F65" s="9">
        <f t="shared" si="14"/>
        <v>69.55307262569832</v>
      </c>
      <c r="G65" s="9">
        <f t="shared" si="14"/>
        <v>68.8622754491018</v>
      </c>
      <c r="H65" s="9">
        <f t="shared" si="14"/>
        <v>66.69806877060763</v>
      </c>
      <c r="I65" s="10">
        <f t="shared" si="15"/>
        <v>67.45973369030024</v>
      </c>
      <c r="J65" s="9">
        <f t="shared" si="16"/>
        <v>0.88221450966714</v>
      </c>
      <c r="K65">
        <v>2</v>
      </c>
      <c r="M65" s="29" t="s">
        <v>202</v>
      </c>
      <c r="O65">
        <v>404.01500000000004</v>
      </c>
      <c r="P65">
        <v>404.01500000000004</v>
      </c>
      <c r="Q65" s="29">
        <v>439.42999999999995</v>
      </c>
      <c r="R65">
        <v>439.42999999999995</v>
      </c>
      <c r="S65">
        <v>421.28999999999996</v>
      </c>
      <c r="T65" s="29">
        <v>421.28999999999996</v>
      </c>
      <c r="U65" s="60">
        <f>AVERAGE(O65:T65)</f>
        <v>421.5783333333333</v>
      </c>
      <c r="V65" s="60">
        <f>STDEV(O65:T65)/SQRT(6)</f>
        <v>6.4665076440926175</v>
      </c>
    </row>
    <row r="66" spans="2:11" ht="15">
      <c r="B66">
        <v>4</v>
      </c>
      <c r="C66" s="9">
        <f t="shared" si="14"/>
        <v>65.91549295774648</v>
      </c>
      <c r="D66" s="9">
        <f t="shared" si="14"/>
        <v>64.67236467236468</v>
      </c>
      <c r="E66" s="9">
        <f t="shared" si="14"/>
        <v>71.13095238095238</v>
      </c>
      <c r="F66" s="9">
        <f t="shared" si="14"/>
        <v>70.94972067039106</v>
      </c>
      <c r="G66" s="9">
        <f t="shared" si="14"/>
        <v>68.562874251497</v>
      </c>
      <c r="H66" s="9">
        <f t="shared" si="14"/>
        <v>66.41544983513896</v>
      </c>
      <c r="I66" s="10">
        <f t="shared" si="15"/>
        <v>67.94114246134843</v>
      </c>
      <c r="J66" s="9">
        <f t="shared" si="16"/>
        <v>1.106479141494419</v>
      </c>
      <c r="K66">
        <v>4</v>
      </c>
    </row>
    <row r="67" spans="2:22" ht="15">
      <c r="B67">
        <v>7</v>
      </c>
      <c r="C67" s="9">
        <f t="shared" si="14"/>
        <v>68.45070422535211</v>
      </c>
      <c r="D67" s="9">
        <f t="shared" si="14"/>
        <v>64.1025641025641</v>
      </c>
      <c r="E67" s="9">
        <f t="shared" si="14"/>
        <v>72.61904761904762</v>
      </c>
      <c r="F67" s="9">
        <f t="shared" si="14"/>
        <v>72.3463687150838</v>
      </c>
      <c r="G67" s="9">
        <f t="shared" si="14"/>
        <v>70.95808383233533</v>
      </c>
      <c r="H67" s="9">
        <f t="shared" si="14"/>
        <v>68.67640131888837</v>
      </c>
      <c r="I67" s="10">
        <f t="shared" si="15"/>
        <v>69.5255283022119</v>
      </c>
      <c r="J67" s="9">
        <f t="shared" si="16"/>
        <v>1.3021011466865728</v>
      </c>
      <c r="K67">
        <v>7</v>
      </c>
      <c r="M67" s="29" t="s">
        <v>203</v>
      </c>
      <c r="N67" s="29"/>
      <c r="O67" s="29">
        <f>P48/O65</f>
        <v>14.1083870648367</v>
      </c>
      <c r="P67" s="29">
        <f>P48/P65</f>
        <v>14.1083870648367</v>
      </c>
      <c r="Q67" s="29">
        <f>R48/Q65</f>
        <v>14.109186901212937</v>
      </c>
      <c r="R67" s="29">
        <f>R48/R65</f>
        <v>14.109186901212937</v>
      </c>
      <c r="S67" s="29">
        <f>T48/S65</f>
        <v>14.109046025303236</v>
      </c>
      <c r="T67" s="29">
        <f>T48/T65</f>
        <v>14.109046025303236</v>
      </c>
      <c r="U67" s="60">
        <f>AVERAGE(O67:T67)</f>
        <v>14.108873330450956</v>
      </c>
      <c r="V67" s="60">
        <f>STDEV(O67:T67)/SQRT(6)</f>
        <v>0.00015590689152628724</v>
      </c>
    </row>
    <row r="68" spans="2:11" ht="15">
      <c r="B68">
        <v>9</v>
      </c>
      <c r="C68" s="9">
        <f t="shared" si="14"/>
        <v>67.88732394366197</v>
      </c>
      <c r="D68" s="9">
        <f t="shared" si="14"/>
        <v>65.24216524216524</v>
      </c>
      <c r="E68" s="9">
        <f t="shared" si="14"/>
        <v>73.21428571428571</v>
      </c>
      <c r="F68" s="9">
        <f t="shared" si="14"/>
        <v>72.90502793296089</v>
      </c>
      <c r="G68" s="9">
        <f t="shared" si="14"/>
        <v>71.25748502994011</v>
      </c>
      <c r="H68" s="9">
        <f t="shared" si="14"/>
        <v>70.08949599623175</v>
      </c>
      <c r="I68" s="10">
        <f t="shared" si="15"/>
        <v>70.09929730987427</v>
      </c>
      <c r="J68" s="9">
        <f t="shared" si="16"/>
        <v>1.256998144331927</v>
      </c>
      <c r="K68">
        <v>9</v>
      </c>
    </row>
    <row r="69" spans="2:22" ht="15">
      <c r="B69">
        <v>11</v>
      </c>
      <c r="C69" s="9">
        <f t="shared" si="14"/>
        <v>69.5774647887324</v>
      </c>
      <c r="D69" s="9">
        <f t="shared" si="14"/>
        <v>65.24216524216524</v>
      </c>
      <c r="E69" s="9">
        <f t="shared" si="14"/>
        <v>74.10714285714286</v>
      </c>
      <c r="F69" s="9">
        <f t="shared" si="14"/>
        <v>74.30167597765363</v>
      </c>
      <c r="G69" s="9">
        <f t="shared" si="14"/>
        <v>73.35329341317366</v>
      </c>
      <c r="H69" s="9">
        <f t="shared" si="14"/>
        <v>70.93735280263778</v>
      </c>
      <c r="I69" s="10">
        <f t="shared" si="15"/>
        <v>71.25318251358426</v>
      </c>
      <c r="J69" s="9">
        <f t="shared" si="16"/>
        <v>1.4246517091397188</v>
      </c>
      <c r="K69">
        <v>11</v>
      </c>
      <c r="M69" s="86" t="s">
        <v>228</v>
      </c>
      <c r="N69" s="86"/>
      <c r="O69" s="9">
        <f>O57*17</f>
        <v>826.4999999999999</v>
      </c>
      <c r="P69" s="9">
        <f>P57*17</f>
        <v>826.4999999999999</v>
      </c>
      <c r="Q69" s="9">
        <f>Q57*17</f>
        <v>898.9999999999999</v>
      </c>
      <c r="R69" s="9">
        <f>R57*17</f>
        <v>898.9999999999999</v>
      </c>
      <c r="S69" s="9">
        <f>S57*17</f>
        <v>861.88</v>
      </c>
      <c r="T69" s="93">
        <f>T57*17</f>
        <v>861.88</v>
      </c>
      <c r="U69" s="9">
        <f aca="true" t="shared" si="17" ref="U69:U74">AVERAGE(O69:T69)</f>
        <v>862.4599999999999</v>
      </c>
      <c r="V69" s="75">
        <f aca="true" t="shared" si="18" ref="V69:V74">STDEV(O69:T69)/SQRT(6)</f>
        <v>13.237899128386656</v>
      </c>
    </row>
    <row r="70" spans="2:22" ht="15">
      <c r="B70">
        <v>14</v>
      </c>
      <c r="C70" s="9">
        <f t="shared" si="14"/>
        <v>70.4225352112676</v>
      </c>
      <c r="D70" s="9">
        <f t="shared" si="14"/>
        <v>67.80626780626781</v>
      </c>
      <c r="E70" s="9">
        <f t="shared" si="14"/>
        <v>74.70238095238095</v>
      </c>
      <c r="F70" s="9">
        <f t="shared" si="14"/>
        <v>72.62569832402235</v>
      </c>
      <c r="G70" s="9">
        <f t="shared" si="14"/>
        <v>74.25149700598803</v>
      </c>
      <c r="H70" s="9">
        <f t="shared" si="14"/>
        <v>73.1983042863872</v>
      </c>
      <c r="I70" s="10">
        <f t="shared" si="15"/>
        <v>72.167780597719</v>
      </c>
      <c r="J70" s="9">
        <f t="shared" si="16"/>
        <v>1.066246000911995</v>
      </c>
      <c r="K70">
        <v>14</v>
      </c>
      <c r="M70" s="94" t="s">
        <v>229</v>
      </c>
      <c r="N70" s="86"/>
      <c r="O70" s="9">
        <f>O69/30</f>
        <v>27.549999999999997</v>
      </c>
      <c r="P70" s="9">
        <f>P69/30</f>
        <v>27.549999999999997</v>
      </c>
      <c r="Q70" s="9">
        <f>Q69/30</f>
        <v>29.96666666666666</v>
      </c>
      <c r="R70" s="9">
        <f>R69/30</f>
        <v>29.96666666666666</v>
      </c>
      <c r="S70" s="9">
        <f>S69/30</f>
        <v>28.729333333333333</v>
      </c>
      <c r="T70" s="93">
        <f>T69/30</f>
        <v>28.729333333333333</v>
      </c>
      <c r="U70" s="9">
        <f t="shared" si="17"/>
        <v>28.748666666666665</v>
      </c>
      <c r="V70" s="75">
        <f t="shared" si="18"/>
        <v>0.44126330427951027</v>
      </c>
    </row>
    <row r="71" spans="2:22" ht="15">
      <c r="B71">
        <v>18</v>
      </c>
      <c r="C71" s="9">
        <f t="shared" si="14"/>
        <v>71.54929577464789</v>
      </c>
      <c r="D71" s="9">
        <f t="shared" si="14"/>
        <v>68.94586894586895</v>
      </c>
      <c r="E71" s="9">
        <f t="shared" si="14"/>
        <v>76.19047619047619</v>
      </c>
      <c r="F71" s="9">
        <f t="shared" si="14"/>
        <v>73.74301675977654</v>
      </c>
      <c r="G71" s="9">
        <f t="shared" si="14"/>
        <v>74.55089820359281</v>
      </c>
      <c r="H71" s="9">
        <f t="shared" si="14"/>
        <v>73.48092322185587</v>
      </c>
      <c r="I71" s="10">
        <f t="shared" si="15"/>
        <v>73.07674651603638</v>
      </c>
      <c r="J71" s="9">
        <f t="shared" si="16"/>
        <v>1.0307435147780328</v>
      </c>
      <c r="K71">
        <v>18</v>
      </c>
      <c r="M71" s="86" t="s">
        <v>230</v>
      </c>
      <c r="N71" s="86"/>
      <c r="O71" s="9">
        <f>O61*38</f>
        <v>2043.8153846153846</v>
      </c>
      <c r="P71" s="9">
        <f>P61*38</f>
        <v>2043.8153846153846</v>
      </c>
      <c r="Q71" s="9">
        <f>Q61*38</f>
        <v>2223.097435897436</v>
      </c>
      <c r="R71" s="9">
        <f>R61*38</f>
        <v>2223.097435897436</v>
      </c>
      <c r="S71" s="9">
        <f>S61*38</f>
        <v>2131.305025641025</v>
      </c>
      <c r="T71" s="93">
        <f>T61*38</f>
        <v>2131.305025641025</v>
      </c>
      <c r="U71" s="9">
        <f t="shared" si="17"/>
        <v>2132.739282051282</v>
      </c>
      <c r="V71" s="75">
        <f t="shared" si="18"/>
        <v>32.73541669519607</v>
      </c>
    </row>
    <row r="72" spans="2:22" ht="15">
      <c r="B72">
        <v>21</v>
      </c>
      <c r="C72" s="9">
        <f t="shared" si="14"/>
        <v>71.54929577464789</v>
      </c>
      <c r="D72" s="9">
        <f t="shared" si="14"/>
        <v>70.37037037037037</v>
      </c>
      <c r="E72" s="9">
        <f t="shared" si="14"/>
        <v>78.27380952380952</v>
      </c>
      <c r="F72" s="9">
        <f t="shared" si="14"/>
        <v>76.53631284916202</v>
      </c>
      <c r="G72" s="9">
        <f t="shared" si="14"/>
        <v>73.35329341317366</v>
      </c>
      <c r="H72" s="9">
        <f t="shared" si="14"/>
        <v>73.1983042863872</v>
      </c>
      <c r="I72" s="10">
        <f t="shared" si="15"/>
        <v>73.88023103625845</v>
      </c>
      <c r="J72" s="9">
        <f t="shared" si="16"/>
        <v>1.2227478748251448</v>
      </c>
      <c r="K72">
        <v>21</v>
      </c>
      <c r="M72" s="95" t="s">
        <v>231</v>
      </c>
      <c r="N72" s="86"/>
      <c r="O72" s="9">
        <f>O71/30</f>
        <v>68.12717948717949</v>
      </c>
      <c r="P72" s="9">
        <f>P71/30</f>
        <v>68.12717948717949</v>
      </c>
      <c r="Q72" s="9">
        <f>Q71/30</f>
        <v>74.10324786324786</v>
      </c>
      <c r="R72" s="9">
        <f>R71/30</f>
        <v>74.10324786324786</v>
      </c>
      <c r="S72" s="9">
        <f>S71/30</f>
        <v>71.04350085470084</v>
      </c>
      <c r="T72" s="93">
        <f>T71/30</f>
        <v>71.04350085470084</v>
      </c>
      <c r="U72" s="9">
        <f t="shared" si="17"/>
        <v>71.0913094017094</v>
      </c>
      <c r="V72" s="75">
        <f t="shared" si="18"/>
        <v>1.0911805565067618</v>
      </c>
    </row>
    <row r="73" spans="2:22" ht="15">
      <c r="B73">
        <v>24</v>
      </c>
      <c r="C73" s="9">
        <f t="shared" si="14"/>
        <v>70.70422535211267</v>
      </c>
      <c r="D73" s="9">
        <f t="shared" si="14"/>
        <v>70.65527065527066</v>
      </c>
      <c r="E73" s="9">
        <f t="shared" si="14"/>
        <v>78.27380952380952</v>
      </c>
      <c r="F73" s="9">
        <f t="shared" si="14"/>
        <v>77.09497206703911</v>
      </c>
      <c r="G73" s="9">
        <f t="shared" si="14"/>
        <v>74.55089820359281</v>
      </c>
      <c r="H73" s="9">
        <f t="shared" si="14"/>
        <v>72.91568535091852</v>
      </c>
      <c r="I73" s="10">
        <f t="shared" si="15"/>
        <v>74.03247685879055</v>
      </c>
      <c r="J73" s="9">
        <f t="shared" si="16"/>
        <v>1.3085175259494697</v>
      </c>
      <c r="K73">
        <v>24</v>
      </c>
      <c r="M73" s="86" t="s">
        <v>232</v>
      </c>
      <c r="N73" s="86"/>
      <c r="O73" s="9">
        <f>O63*17</f>
        <v>2775.33</v>
      </c>
      <c r="P73" s="9">
        <f>P63*17</f>
        <v>2775.33</v>
      </c>
      <c r="Q73" s="9">
        <f>Q63*17</f>
        <v>3018.78</v>
      </c>
      <c r="R73" s="9">
        <f>R63*17</f>
        <v>3018.78</v>
      </c>
      <c r="S73" s="9">
        <f>S63*17</f>
        <v>2894.1336</v>
      </c>
      <c r="T73" s="93">
        <f>T63*17</f>
        <v>2894.1336</v>
      </c>
      <c r="U73" s="9">
        <f t="shared" si="17"/>
        <v>2896.0812000000005</v>
      </c>
      <c r="V73" s="75">
        <f t="shared" si="18"/>
        <v>44.45195231455212</v>
      </c>
    </row>
    <row r="74" spans="2:22" ht="15">
      <c r="B74">
        <v>25</v>
      </c>
      <c r="C74" s="9">
        <f t="shared" si="14"/>
        <v>72.11267605633803</v>
      </c>
      <c r="D74" s="9">
        <f t="shared" si="14"/>
        <v>71.7948717948718</v>
      </c>
      <c r="E74" s="9">
        <f t="shared" si="14"/>
        <v>78.86904761904762</v>
      </c>
      <c r="F74" s="9">
        <f t="shared" si="14"/>
        <v>77.09497206703911</v>
      </c>
      <c r="G74" s="9">
        <f t="shared" si="14"/>
        <v>74.55089820359281</v>
      </c>
      <c r="H74" s="9">
        <f t="shared" si="14"/>
        <v>74.3287800282619</v>
      </c>
      <c r="I74" s="10">
        <f t="shared" si="15"/>
        <v>74.79187429485854</v>
      </c>
      <c r="J74" s="9">
        <f t="shared" si="16"/>
        <v>1.1307851936633562</v>
      </c>
      <c r="K74">
        <v>25</v>
      </c>
      <c r="M74" s="95" t="s">
        <v>233</v>
      </c>
      <c r="N74" s="86"/>
      <c r="O74" s="9">
        <f>O73/30</f>
        <v>92.511</v>
      </c>
      <c r="P74" s="9">
        <f>P73/30</f>
        <v>92.511</v>
      </c>
      <c r="Q74" s="9">
        <f>Q73/30</f>
        <v>100.626</v>
      </c>
      <c r="R74" s="9">
        <f>R73/30</f>
        <v>100.626</v>
      </c>
      <c r="S74" s="9">
        <f>S73/30</f>
        <v>96.47112</v>
      </c>
      <c r="T74" s="93">
        <f>T73/30</f>
        <v>96.47112</v>
      </c>
      <c r="U74" s="9">
        <f t="shared" si="17"/>
        <v>96.53604</v>
      </c>
      <c r="V74" s="75">
        <f t="shared" si="18"/>
        <v>1.4817317438187896</v>
      </c>
    </row>
    <row r="75" spans="2:11" ht="15">
      <c r="B75">
        <v>29</v>
      </c>
      <c r="C75" s="9">
        <f t="shared" si="14"/>
        <v>72.67605633802818</v>
      </c>
      <c r="D75" s="9">
        <f t="shared" si="14"/>
        <v>74.07407407407408</v>
      </c>
      <c r="E75" s="9">
        <f t="shared" si="14"/>
        <v>80.35714285714286</v>
      </c>
      <c r="F75" s="9">
        <f t="shared" si="14"/>
        <v>77.6536312849162</v>
      </c>
      <c r="G75" s="9">
        <f t="shared" si="14"/>
        <v>75.74850299401197</v>
      </c>
      <c r="H75" s="9">
        <f t="shared" si="14"/>
        <v>75.45925577013661</v>
      </c>
      <c r="I75" s="10">
        <f t="shared" si="15"/>
        <v>75.99477721971832</v>
      </c>
      <c r="J75" s="9">
        <f t="shared" si="16"/>
        <v>1.1080384145818565</v>
      </c>
      <c r="K75">
        <v>29</v>
      </c>
    </row>
    <row r="76" spans="2:11" ht="15">
      <c r="B76">
        <v>30</v>
      </c>
      <c r="C76" s="9">
        <f t="shared" si="14"/>
        <v>74.08450704225352</v>
      </c>
      <c r="D76" s="9">
        <f t="shared" si="14"/>
        <v>72.93447293447294</v>
      </c>
      <c r="E76" s="9">
        <f t="shared" si="14"/>
        <v>78.86904761904762</v>
      </c>
      <c r="F76" s="9">
        <f t="shared" si="14"/>
        <v>76.53631284916202</v>
      </c>
      <c r="G76" s="9">
        <f t="shared" si="14"/>
        <v>76.34730538922156</v>
      </c>
      <c r="H76" s="9">
        <f t="shared" si="14"/>
        <v>73.48092322185587</v>
      </c>
      <c r="I76" s="10">
        <f>AVERAGE(C76:H76)</f>
        <v>75.37542817600225</v>
      </c>
      <c r="J76" s="9">
        <f>STDEV(C76:H76)/SQRT(6)</f>
        <v>0.9257693060508465</v>
      </c>
      <c r="K76">
        <v>30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zoomScale="85" zoomScaleNormal="85" zoomScalePageLayoutView="0" workbookViewId="0" topLeftCell="G7">
      <selection activeCell="Y34" sqref="Y34"/>
    </sheetView>
  </sheetViews>
  <sheetFormatPr defaultColWidth="11.421875" defaultRowHeight="15"/>
  <cols>
    <col min="2" max="2" width="18.421875" style="0" customWidth="1"/>
    <col min="11" max="12" width="11.421875" style="73" customWidth="1"/>
    <col min="15" max="15" width="17.57421875" style="0" customWidth="1"/>
    <col min="25" max="25" width="11.7109375" style="0" bestFit="1" customWidth="1"/>
  </cols>
  <sheetData>
    <row r="1" spans="1:25" ht="15">
      <c r="A1" s="1" t="s">
        <v>121</v>
      </c>
      <c r="I1" s="18"/>
      <c r="N1" s="1" t="s">
        <v>122</v>
      </c>
      <c r="T1" s="11"/>
      <c r="U1" s="11"/>
      <c r="V1" s="11"/>
      <c r="W1" s="11"/>
      <c r="X1" s="11"/>
      <c r="Y1" s="11"/>
    </row>
    <row r="2" spans="3:25" ht="15"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1" t="s">
        <v>61</v>
      </c>
      <c r="J2" s="20" t="s">
        <v>62</v>
      </c>
      <c r="K2" s="77"/>
      <c r="L2" s="77"/>
      <c r="P2" s="20">
        <v>7</v>
      </c>
      <c r="Q2" s="20">
        <v>8</v>
      </c>
      <c r="R2" s="20">
        <v>9</v>
      </c>
      <c r="S2" s="20">
        <v>10</v>
      </c>
      <c r="T2" s="24">
        <v>11</v>
      </c>
      <c r="U2" s="24">
        <v>12</v>
      </c>
      <c r="V2" s="25" t="s">
        <v>61</v>
      </c>
      <c r="W2" s="24" t="s">
        <v>62</v>
      </c>
      <c r="X2" s="11"/>
      <c r="Y2" s="11"/>
    </row>
    <row r="3" spans="1:25" ht="15">
      <c r="A3" s="1"/>
      <c r="I3" s="18"/>
      <c r="N3" s="1"/>
      <c r="T3" s="11"/>
      <c r="U3" s="11"/>
      <c r="V3" s="26"/>
      <c r="W3" s="11"/>
      <c r="X3" s="11"/>
      <c r="Y3" s="11"/>
    </row>
    <row r="4" spans="1:25" ht="15">
      <c r="A4" t="s">
        <v>104</v>
      </c>
      <c r="C4">
        <v>389</v>
      </c>
      <c r="D4">
        <v>355</v>
      </c>
      <c r="E4">
        <v>351</v>
      </c>
      <c r="F4">
        <v>336</v>
      </c>
      <c r="G4">
        <v>358</v>
      </c>
      <c r="H4">
        <v>334</v>
      </c>
      <c r="I4" s="19">
        <f>AVERAGE(C4:H4)</f>
        <v>353.8333333333333</v>
      </c>
      <c r="J4" s="9">
        <f>STDEV(C4:H4)/SQRT(6)</f>
        <v>8.11343193585668</v>
      </c>
      <c r="K4" s="9"/>
      <c r="L4" s="9"/>
      <c r="N4" t="s">
        <v>104</v>
      </c>
      <c r="P4">
        <v>231</v>
      </c>
      <c r="Q4">
        <v>228</v>
      </c>
      <c r="R4">
        <v>237</v>
      </c>
      <c r="S4">
        <v>247</v>
      </c>
      <c r="T4">
        <v>226</v>
      </c>
      <c r="U4">
        <v>230</v>
      </c>
      <c r="V4" s="19">
        <f>AVERAGE(P4:U4)</f>
        <v>233.16666666666666</v>
      </c>
      <c r="W4" s="9">
        <f>STDEV(P4:U4)/SQRT(6)</f>
        <v>3.1561227972166206</v>
      </c>
      <c r="X4" s="11"/>
      <c r="Y4" s="11"/>
    </row>
    <row r="5" spans="9:25" ht="15">
      <c r="I5" s="18"/>
      <c r="T5" s="11"/>
      <c r="U5" s="11"/>
      <c r="V5" s="18"/>
      <c r="X5" s="11"/>
      <c r="Y5" s="11"/>
    </row>
    <row r="6" spans="1:25" ht="15">
      <c r="A6" s="74" t="s">
        <v>219</v>
      </c>
      <c r="B6" s="13" t="s">
        <v>220</v>
      </c>
      <c r="C6" s="7">
        <v>0.131</v>
      </c>
      <c r="D6" s="7">
        <v>0.131</v>
      </c>
      <c r="E6" s="7">
        <v>0.131</v>
      </c>
      <c r="F6" s="7">
        <v>0.131</v>
      </c>
      <c r="G6" s="7">
        <v>0.131</v>
      </c>
      <c r="H6" s="7">
        <v>0.131</v>
      </c>
      <c r="I6" s="14">
        <f>AVERAGE(C6:H6)</f>
        <v>0.131</v>
      </c>
      <c r="J6" s="7">
        <f>STDEV(C6:H6)/SQRT(6)</f>
        <v>0</v>
      </c>
      <c r="K6" s="7"/>
      <c r="L6" s="7"/>
      <c r="N6" t="s">
        <v>105</v>
      </c>
      <c r="O6" s="13" t="s">
        <v>220</v>
      </c>
      <c r="P6" s="7">
        <v>0.1397</v>
      </c>
      <c r="Q6" s="7">
        <v>0.1397</v>
      </c>
      <c r="R6" s="7">
        <v>0.1397</v>
      </c>
      <c r="S6" s="7">
        <v>0.1397</v>
      </c>
      <c r="T6" s="7">
        <v>0.1397</v>
      </c>
      <c r="U6" s="7">
        <v>0.1397</v>
      </c>
      <c r="V6" s="14">
        <f>AVERAGE(P6:U6)</f>
        <v>0.13969999999999996</v>
      </c>
      <c r="W6" s="7">
        <f>STDEV(P6:U6)/SQRT(6)</f>
        <v>1.2412670766236365E-17</v>
      </c>
      <c r="X6" s="11"/>
      <c r="Y6" s="11"/>
    </row>
    <row r="7" spans="1:25" ht="15">
      <c r="A7" s="74" t="s">
        <v>221</v>
      </c>
      <c r="B7" s="13" t="s">
        <v>222</v>
      </c>
      <c r="C7" s="7">
        <v>0.191</v>
      </c>
      <c r="D7" s="7">
        <v>0.191</v>
      </c>
      <c r="E7" s="7">
        <v>0.191</v>
      </c>
      <c r="F7" s="7">
        <v>0.191</v>
      </c>
      <c r="G7" s="7">
        <v>0.191</v>
      </c>
      <c r="H7" s="7">
        <v>0.191</v>
      </c>
      <c r="I7" s="14">
        <f>AVERAGE(C7:H7)</f>
        <v>0.19100000000000003</v>
      </c>
      <c r="J7" s="7">
        <f>STDEV(C7:H7)/SQRT(6)</f>
        <v>1.2412670766236365E-17</v>
      </c>
      <c r="K7" s="7"/>
      <c r="L7" s="7"/>
      <c r="N7" t="s">
        <v>106</v>
      </c>
      <c r="O7" s="13" t="s">
        <v>222</v>
      </c>
      <c r="P7" s="7">
        <v>0.196</v>
      </c>
      <c r="Q7" s="7">
        <v>0.196</v>
      </c>
      <c r="R7" s="7">
        <v>0.196</v>
      </c>
      <c r="S7" s="7">
        <v>0.196</v>
      </c>
      <c r="T7" s="7">
        <v>0.196</v>
      </c>
      <c r="U7" s="7">
        <v>0.196</v>
      </c>
      <c r="V7" s="14">
        <f>AVERAGE(P7:U7)</f>
        <v>0.19599999999999998</v>
      </c>
      <c r="W7" s="7">
        <f>STDEV(P7:U7)/SQRT(6)</f>
        <v>1.2412670766236365E-17</v>
      </c>
      <c r="X7" s="11"/>
      <c r="Y7" s="11"/>
    </row>
    <row r="8" spans="1:25" s="52" customFormat="1" ht="15">
      <c r="A8" s="52" t="s">
        <v>0</v>
      </c>
      <c r="B8" s="13" t="s">
        <v>124</v>
      </c>
      <c r="C8" s="51">
        <v>0.612</v>
      </c>
      <c r="D8" s="51">
        <v>0.612</v>
      </c>
      <c r="E8" s="51">
        <v>0.612</v>
      </c>
      <c r="F8" s="51">
        <v>0.612</v>
      </c>
      <c r="G8" s="51">
        <v>0.612</v>
      </c>
      <c r="H8" s="51">
        <v>0.612</v>
      </c>
      <c r="I8" s="14">
        <f>AVERAGE(C8:H8)</f>
        <v>0.612</v>
      </c>
      <c r="J8" s="7">
        <f>STDEV(C8:H8)/SQRT(6)</f>
        <v>0</v>
      </c>
      <c r="K8" s="7"/>
      <c r="L8" s="7"/>
      <c r="N8" s="52" t="s">
        <v>0</v>
      </c>
      <c r="O8" s="13" t="s">
        <v>124</v>
      </c>
      <c r="P8" s="51">
        <v>0.59</v>
      </c>
      <c r="Q8" s="51">
        <v>0.59</v>
      </c>
      <c r="R8" s="51">
        <v>0.59</v>
      </c>
      <c r="S8" s="51">
        <v>0.59</v>
      </c>
      <c r="T8" s="51">
        <v>0.59</v>
      </c>
      <c r="U8" s="51">
        <v>0.59</v>
      </c>
      <c r="V8" s="53">
        <f>AVERAGE(P8:U8)</f>
        <v>0.59</v>
      </c>
      <c r="W8" s="51">
        <f>STDEV(P8:U8)/SQRT(6)</f>
        <v>0</v>
      </c>
      <c r="X8" s="56"/>
      <c r="Y8" s="56"/>
    </row>
    <row r="9" spans="1:23" s="52" customFormat="1" ht="15">
      <c r="A9" s="52" t="s">
        <v>223</v>
      </c>
      <c r="B9" s="13" t="s">
        <v>224</v>
      </c>
      <c r="C9" s="61">
        <v>9.96</v>
      </c>
      <c r="D9" s="61">
        <v>9.96</v>
      </c>
      <c r="E9" s="61">
        <v>9.96</v>
      </c>
      <c r="F9" s="61">
        <v>9.96</v>
      </c>
      <c r="G9" s="61">
        <v>9.96</v>
      </c>
      <c r="H9" s="61">
        <v>9.96</v>
      </c>
      <c r="I9" s="65">
        <f>AVERAGE(C9:H9)</f>
        <v>9.96</v>
      </c>
      <c r="J9" s="66">
        <f>STDEV(C9:H9)/SQRT(6)</f>
        <v>0</v>
      </c>
      <c r="K9" s="66"/>
      <c r="L9" s="66"/>
      <c r="M9" s="62"/>
      <c r="N9" s="52" t="s">
        <v>223</v>
      </c>
      <c r="O9" s="13" t="s">
        <v>224</v>
      </c>
      <c r="P9" s="61">
        <v>10.43</v>
      </c>
      <c r="Q9" s="61">
        <v>10.43</v>
      </c>
      <c r="R9" s="61">
        <v>10.43</v>
      </c>
      <c r="S9" s="61">
        <v>10.43</v>
      </c>
      <c r="T9" s="61">
        <v>10.43</v>
      </c>
      <c r="U9" s="61">
        <v>10.43</v>
      </c>
      <c r="V9" s="63">
        <f>AVERAGE(P9:U9)</f>
        <v>10.43</v>
      </c>
      <c r="W9" s="64">
        <f>STDEV(P9:U9)/SQRT(6)</f>
        <v>0</v>
      </c>
    </row>
    <row r="10" spans="9:25" ht="15">
      <c r="I10" s="18"/>
      <c r="T10" s="11"/>
      <c r="U10" s="11"/>
      <c r="V10" s="18"/>
      <c r="X10" s="11"/>
      <c r="Y10" s="11"/>
    </row>
    <row r="11" spans="1:25" ht="15">
      <c r="A11" t="s">
        <v>107</v>
      </c>
      <c r="C11" s="7">
        <f aca="true" t="shared" si="0" ref="C11:H11">C4*C6</f>
        <v>50.959</v>
      </c>
      <c r="D11" s="7">
        <f t="shared" si="0"/>
        <v>46.505</v>
      </c>
      <c r="E11" s="7">
        <f t="shared" si="0"/>
        <v>45.981</v>
      </c>
      <c r="F11" s="7">
        <f t="shared" si="0"/>
        <v>44.016000000000005</v>
      </c>
      <c r="G11" s="7">
        <f t="shared" si="0"/>
        <v>46.898</v>
      </c>
      <c r="H11" s="7">
        <f t="shared" si="0"/>
        <v>43.754000000000005</v>
      </c>
      <c r="I11" s="14">
        <f>AVERAGE(C11:H11)</f>
        <v>46.35216666666667</v>
      </c>
      <c r="J11" s="7">
        <f>STDEV(C11:H11)/SQRT(6)</f>
        <v>1.0628595835972448</v>
      </c>
      <c r="K11" s="7"/>
      <c r="L11" s="7"/>
      <c r="N11" t="s">
        <v>107</v>
      </c>
      <c r="P11" s="7">
        <f aca="true" t="shared" si="1" ref="P11:U11">P4*P6</f>
        <v>32.2707</v>
      </c>
      <c r="Q11" s="7">
        <f t="shared" si="1"/>
        <v>31.851599999999998</v>
      </c>
      <c r="R11" s="7">
        <f t="shared" si="1"/>
        <v>33.1089</v>
      </c>
      <c r="S11" s="7">
        <f t="shared" si="1"/>
        <v>34.5059</v>
      </c>
      <c r="T11" s="7">
        <f t="shared" si="1"/>
        <v>31.5722</v>
      </c>
      <c r="U11" s="7">
        <f t="shared" si="1"/>
        <v>32.131</v>
      </c>
      <c r="V11" s="14">
        <f>AVERAGE(P11:U11)</f>
        <v>32.57338333333333</v>
      </c>
      <c r="W11" s="7">
        <f>STDEV(P11:U11)/SQRT(6)</f>
        <v>0.4409103547711007</v>
      </c>
      <c r="X11" s="11"/>
      <c r="Y11" s="11"/>
    </row>
    <row r="12" spans="1:25" ht="15">
      <c r="A12" t="s">
        <v>108</v>
      </c>
      <c r="C12" s="7">
        <f aca="true" t="shared" si="2" ref="C12:H12">C4*C7</f>
        <v>74.299</v>
      </c>
      <c r="D12" s="7">
        <f t="shared" si="2"/>
        <v>67.805</v>
      </c>
      <c r="E12" s="7">
        <f t="shared" si="2"/>
        <v>67.041</v>
      </c>
      <c r="F12" s="7">
        <f t="shared" si="2"/>
        <v>64.176</v>
      </c>
      <c r="G12" s="7">
        <f t="shared" si="2"/>
        <v>68.378</v>
      </c>
      <c r="H12" s="7">
        <f t="shared" si="2"/>
        <v>63.794000000000004</v>
      </c>
      <c r="I12" s="14">
        <f>AVERAGE(C12:H12)</f>
        <v>67.58216666666667</v>
      </c>
      <c r="J12" s="7">
        <f>STDEV(C12:H12)/SQRT(6)</f>
        <v>1.5496654997486765</v>
      </c>
      <c r="K12" s="7"/>
      <c r="L12" s="7"/>
      <c r="N12" t="s">
        <v>108</v>
      </c>
      <c r="P12" s="7">
        <f aca="true" t="shared" si="3" ref="P12:U12">P4*P7</f>
        <v>45.276</v>
      </c>
      <c r="Q12" s="7">
        <f t="shared" si="3"/>
        <v>44.688</v>
      </c>
      <c r="R12" s="7">
        <f t="shared" si="3"/>
        <v>46.452000000000005</v>
      </c>
      <c r="S12" s="7">
        <f t="shared" si="3"/>
        <v>48.412</v>
      </c>
      <c r="T12" s="7">
        <f t="shared" si="3"/>
        <v>44.296</v>
      </c>
      <c r="U12" s="7">
        <f t="shared" si="3"/>
        <v>45.08</v>
      </c>
      <c r="V12" s="14">
        <f>AVERAGE(P12:U12)</f>
        <v>45.70066666666667</v>
      </c>
      <c r="W12" s="7">
        <f>STDEV(P12:U12)/SQRT(6)</f>
        <v>0.6186000682544428</v>
      </c>
      <c r="X12" s="11"/>
      <c r="Y12" s="11"/>
    </row>
    <row r="13" spans="1:25" s="52" customFormat="1" ht="15">
      <c r="A13" s="52" t="s">
        <v>1</v>
      </c>
      <c r="C13" s="51">
        <f aca="true" t="shared" si="4" ref="C13:H13">C4*C8</f>
        <v>238.06799999999998</v>
      </c>
      <c r="D13" s="51">
        <f t="shared" si="4"/>
        <v>217.26</v>
      </c>
      <c r="E13" s="51">
        <f t="shared" si="4"/>
        <v>214.81199999999998</v>
      </c>
      <c r="F13" s="51">
        <f t="shared" si="4"/>
        <v>205.632</v>
      </c>
      <c r="G13" s="51">
        <f t="shared" si="4"/>
        <v>219.096</v>
      </c>
      <c r="H13" s="51">
        <f t="shared" si="4"/>
        <v>204.408</v>
      </c>
      <c r="I13" s="53">
        <f>AVERAGE(C13:H13)</f>
        <v>216.54599999999996</v>
      </c>
      <c r="J13" s="51">
        <f>STDEV(C13:H13)/SQRT(6)</f>
        <v>4.965420344744445</v>
      </c>
      <c r="K13" s="51"/>
      <c r="L13" s="51"/>
      <c r="N13" s="52" t="s">
        <v>1</v>
      </c>
      <c r="P13" s="51">
        <f aca="true" t="shared" si="5" ref="P13:U13">P4*P8</f>
        <v>136.29</v>
      </c>
      <c r="Q13" s="51">
        <f t="shared" si="5"/>
        <v>134.51999999999998</v>
      </c>
      <c r="R13" s="51">
        <f t="shared" si="5"/>
        <v>139.82999999999998</v>
      </c>
      <c r="S13" s="51">
        <f t="shared" si="5"/>
        <v>145.73</v>
      </c>
      <c r="T13" s="51">
        <f t="shared" si="5"/>
        <v>133.34</v>
      </c>
      <c r="U13" s="51">
        <f t="shared" si="5"/>
        <v>135.7</v>
      </c>
      <c r="V13" s="53">
        <f>AVERAGE(P13:U13)</f>
        <v>137.5683333333333</v>
      </c>
      <c r="W13" s="51">
        <f>STDEV(P13:U13)/SQRT(6)</f>
        <v>1.8621124503578173</v>
      </c>
      <c r="X13" s="56"/>
      <c r="Y13" s="56"/>
    </row>
    <row r="14" spans="1:25" s="52" customFormat="1" ht="15">
      <c r="A14" s="52" t="s">
        <v>204</v>
      </c>
      <c r="C14" s="61">
        <f>C4*C9</f>
        <v>3874.4400000000005</v>
      </c>
      <c r="D14" s="61">
        <f>D4*D9</f>
        <v>3535.8</v>
      </c>
      <c r="E14" s="61">
        <f>E4*E9</f>
        <v>3495.9600000000005</v>
      </c>
      <c r="F14" s="61">
        <f>F4*F9</f>
        <v>3346.5600000000004</v>
      </c>
      <c r="G14" s="61">
        <f>G4*G9</f>
        <v>3565.6800000000003</v>
      </c>
      <c r="H14" s="61">
        <f>H4*H9</f>
        <v>3326.6400000000003</v>
      </c>
      <c r="I14" s="65">
        <f>AVERAGE(C14:H14)</f>
        <v>3524.1800000000003</v>
      </c>
      <c r="J14" s="66">
        <f>STDEV(C14:H14)/SQRT(6)</f>
        <v>80.80978208113049</v>
      </c>
      <c r="K14" s="66"/>
      <c r="L14" s="66"/>
      <c r="P14" s="61">
        <f aca="true" t="shared" si="6" ref="P14:U14">P4*P9</f>
        <v>2409.33</v>
      </c>
      <c r="Q14" s="61">
        <f t="shared" si="6"/>
        <v>2378.04</v>
      </c>
      <c r="R14" s="61">
        <f t="shared" si="6"/>
        <v>2471.91</v>
      </c>
      <c r="S14" s="61">
        <f t="shared" si="6"/>
        <v>2576.21</v>
      </c>
      <c r="T14" s="61">
        <f t="shared" si="6"/>
        <v>2357.18</v>
      </c>
      <c r="U14" s="61">
        <f t="shared" si="6"/>
        <v>2398.9</v>
      </c>
      <c r="V14" s="65">
        <f>AVERAGE(P14:U14)</f>
        <v>2431.9283333333333</v>
      </c>
      <c r="W14" s="66">
        <f>STDEV(P14:U14)/SQRT(6)</f>
        <v>32.918360774971674</v>
      </c>
      <c r="X14" s="56"/>
      <c r="Y14" s="56"/>
    </row>
    <row r="15" spans="9:25" ht="15">
      <c r="I15" s="18"/>
      <c r="T15" s="11"/>
      <c r="U15" s="11"/>
      <c r="V15" s="18"/>
      <c r="X15" s="11"/>
      <c r="Y15" s="11"/>
    </row>
    <row r="16" spans="1:25" ht="15">
      <c r="A16" t="s">
        <v>109</v>
      </c>
      <c r="C16">
        <v>478</v>
      </c>
      <c r="D16">
        <v>424</v>
      </c>
      <c r="E16">
        <v>438</v>
      </c>
      <c r="F16">
        <v>400</v>
      </c>
      <c r="G16">
        <v>465</v>
      </c>
      <c r="H16">
        <v>415</v>
      </c>
      <c r="I16" s="19">
        <f>AVERAGE(C16:H16)</f>
        <v>436.6666666666667</v>
      </c>
      <c r="J16" s="9">
        <f>STDEV(C16:H16)/SQRT(6)</f>
        <v>12.230199416925924</v>
      </c>
      <c r="K16" s="9"/>
      <c r="L16" s="9"/>
      <c r="N16" t="s">
        <v>109</v>
      </c>
      <c r="P16" s="6">
        <v>263</v>
      </c>
      <c r="Q16" s="6">
        <v>256</v>
      </c>
      <c r="R16" s="6">
        <v>265</v>
      </c>
      <c r="S16" s="6">
        <v>274</v>
      </c>
      <c r="T16" s="6">
        <v>255</v>
      </c>
      <c r="U16" s="6">
        <v>260</v>
      </c>
      <c r="V16" s="19">
        <f>AVERAGE(P16:U16)</f>
        <v>262.1666666666667</v>
      </c>
      <c r="W16" s="9">
        <f>STDEV(P16:U16)/SQRT(6)</f>
        <v>2.845073715115972</v>
      </c>
      <c r="X16" s="11"/>
      <c r="Y16" s="11"/>
    </row>
    <row r="17" spans="3:25" ht="15">
      <c r="C17" s="27"/>
      <c r="D17" s="27"/>
      <c r="I17" s="18"/>
      <c r="M17" s="72"/>
      <c r="T17" s="11"/>
      <c r="U17" s="11"/>
      <c r="V17" s="18"/>
      <c r="X17" s="11"/>
      <c r="Y17" s="11"/>
    </row>
    <row r="18" spans="1:25" ht="15">
      <c r="A18" t="s">
        <v>105</v>
      </c>
      <c r="B18" s="13" t="s">
        <v>123</v>
      </c>
      <c r="C18" s="55">
        <v>0.184</v>
      </c>
      <c r="D18" s="55">
        <v>0.152</v>
      </c>
      <c r="E18" s="7">
        <v>0.1547</v>
      </c>
      <c r="F18" s="7">
        <v>0.1596</v>
      </c>
      <c r="G18" s="7">
        <v>0.1478</v>
      </c>
      <c r="H18" s="7">
        <v>0.1545</v>
      </c>
      <c r="I18" s="14">
        <f>AVERAGE(C18:H18)</f>
        <v>0.15876666666666667</v>
      </c>
      <c r="J18" s="7">
        <f>STDEV(C18:H18)/SQRT(6)</f>
        <v>0.005285872155514602</v>
      </c>
      <c r="K18" s="7"/>
      <c r="L18" s="7"/>
      <c r="M18" s="72"/>
      <c r="N18" t="s">
        <v>105</v>
      </c>
      <c r="O18" s="13" t="s">
        <v>123</v>
      </c>
      <c r="P18" s="7">
        <v>0.1685</v>
      </c>
      <c r="Q18" s="7">
        <v>0.136</v>
      </c>
      <c r="R18" s="7">
        <v>0.1633</v>
      </c>
      <c r="S18" s="7">
        <v>0.1379</v>
      </c>
      <c r="T18" s="7">
        <v>0.1285</v>
      </c>
      <c r="U18" s="7">
        <v>0.1582</v>
      </c>
      <c r="V18" s="14">
        <f>AVERAGE(P18:U18)</f>
        <v>0.14873333333333333</v>
      </c>
      <c r="W18" s="7">
        <f>STDEV(P18:U18)/SQRT(6)</f>
        <v>0.006785802171527841</v>
      </c>
      <c r="X18" s="11"/>
      <c r="Y18" s="11"/>
    </row>
    <row r="19" spans="1:25" ht="15">
      <c r="A19" t="s">
        <v>106</v>
      </c>
      <c r="B19" s="13" t="s">
        <v>123</v>
      </c>
      <c r="C19" s="7">
        <v>0.1646</v>
      </c>
      <c r="D19" s="7">
        <v>0.1676</v>
      </c>
      <c r="E19" s="7">
        <v>0.1706</v>
      </c>
      <c r="F19" s="7">
        <v>0.169</v>
      </c>
      <c r="G19" s="7">
        <v>0.1664</v>
      </c>
      <c r="H19" s="7">
        <v>0.1691</v>
      </c>
      <c r="I19" s="14">
        <f>AVERAGE(C19:H19)</f>
        <v>0.16788333333333336</v>
      </c>
      <c r="J19" s="7">
        <f>STDEV(C19:H19)/SQRT(6)</f>
        <v>0.0008787933646641746</v>
      </c>
      <c r="K19" s="7"/>
      <c r="L19" s="7"/>
      <c r="M19" s="72"/>
      <c r="N19" t="s">
        <v>106</v>
      </c>
      <c r="O19" s="13" t="s">
        <v>123</v>
      </c>
      <c r="P19" s="7">
        <v>0.1766</v>
      </c>
      <c r="Q19" s="15">
        <v>0.1773</v>
      </c>
      <c r="R19" s="7">
        <v>0.1786</v>
      </c>
      <c r="S19" s="7">
        <v>0.1902</v>
      </c>
      <c r="T19" s="15">
        <v>0.1801</v>
      </c>
      <c r="U19" s="7">
        <v>0.1882</v>
      </c>
      <c r="V19" s="14">
        <f>AVERAGE(P19:U19)</f>
        <v>0.18183333333333332</v>
      </c>
      <c r="W19" s="7">
        <f>STDEV(P19:U19)/SQRT(6)</f>
        <v>0.0023939739161300626</v>
      </c>
      <c r="X19" s="11"/>
      <c r="Y19" s="11"/>
    </row>
    <row r="20" spans="1:25" s="52" customFormat="1" ht="15">
      <c r="A20" s="52" t="s">
        <v>2</v>
      </c>
      <c r="B20" s="52" t="s">
        <v>123</v>
      </c>
      <c r="C20" s="52">
        <v>0.6015</v>
      </c>
      <c r="D20" s="52">
        <v>0.618</v>
      </c>
      <c r="E20" s="52">
        <v>0.6115</v>
      </c>
      <c r="F20" s="52">
        <v>0.6066</v>
      </c>
      <c r="G20" s="54">
        <v>0.617</v>
      </c>
      <c r="H20" s="52">
        <v>0.6216</v>
      </c>
      <c r="I20" s="53">
        <f>AVERAGE(C20:H20)</f>
        <v>0.6126999999999999</v>
      </c>
      <c r="J20" s="51">
        <f>STDEV(C20:H20)/SQRT(6)</f>
        <v>0.0031084830169500117</v>
      </c>
      <c r="K20" s="51"/>
      <c r="L20" s="51"/>
      <c r="M20" s="72"/>
      <c r="N20" s="52" t="s">
        <v>2</v>
      </c>
      <c r="O20" s="13" t="s">
        <v>123</v>
      </c>
      <c r="P20" s="52">
        <v>0.5957</v>
      </c>
      <c r="Q20" s="52">
        <v>0.6175</v>
      </c>
      <c r="R20" s="52">
        <v>0.6182</v>
      </c>
      <c r="S20" s="56">
        <v>0.6092</v>
      </c>
      <c r="T20" s="52">
        <v>0.6238</v>
      </c>
      <c r="U20" s="52">
        <v>0.6055</v>
      </c>
      <c r="V20" s="53">
        <f>AVERAGE(P20:U20)</f>
        <v>0.61165</v>
      </c>
      <c r="W20" s="51">
        <f>STDEV(P20:U20)/SQRT(6)</f>
        <v>0.004175224544859834</v>
      </c>
      <c r="X20" s="56"/>
      <c r="Y20" s="56"/>
    </row>
    <row r="21" spans="1:25" s="52" customFormat="1" ht="15">
      <c r="A21" s="52" t="s">
        <v>225</v>
      </c>
      <c r="B21" s="13" t="s">
        <v>226</v>
      </c>
      <c r="C21" s="61">
        <v>10.766906075971002</v>
      </c>
      <c r="D21" s="61">
        <v>9.200267155601475</v>
      </c>
      <c r="E21" s="61">
        <v>10.160653180850673</v>
      </c>
      <c r="F21" s="61">
        <v>12.447829825299653</v>
      </c>
      <c r="G21" s="61">
        <v>7.7345492515922984</v>
      </c>
      <c r="H21" s="61">
        <v>10.987879970703865</v>
      </c>
      <c r="I21" s="65">
        <f>AVERAGE(C21:H21)</f>
        <v>10.216347576669827</v>
      </c>
      <c r="J21" s="66">
        <f>STDEV(C21:H21)/SQRT(6)</f>
        <v>0.6601195380714123</v>
      </c>
      <c r="K21" s="66"/>
      <c r="L21" s="66"/>
      <c r="M21" s="72"/>
      <c r="N21" s="52" t="s">
        <v>225</v>
      </c>
      <c r="O21" s="13" t="s">
        <v>226</v>
      </c>
      <c r="P21" s="61">
        <v>10.522182680479524</v>
      </c>
      <c r="Q21" s="61">
        <v>9.626064785959374</v>
      </c>
      <c r="R21" s="61">
        <v>8.098811190598525</v>
      </c>
      <c r="S21" s="67">
        <v>8.868781237734435</v>
      </c>
      <c r="T21" s="61">
        <v>9.550606121138811</v>
      </c>
      <c r="U21" s="61">
        <v>10.355288902299428</v>
      </c>
      <c r="V21" s="65">
        <f>AVERAGE(P21:U21)</f>
        <v>9.503622486368348</v>
      </c>
      <c r="W21" s="66">
        <f>STDEV(P21:U21)/SQRT(6)</f>
        <v>0.37222387167794646</v>
      </c>
      <c r="X21" s="56"/>
      <c r="Y21" s="56"/>
    </row>
    <row r="22" spans="3:25" ht="15">
      <c r="C22" s="7"/>
      <c r="D22" s="7"/>
      <c r="E22" s="7"/>
      <c r="F22" s="7"/>
      <c r="G22" s="7"/>
      <c r="H22" s="7"/>
      <c r="I22" s="14"/>
      <c r="J22" s="7"/>
      <c r="K22" s="7"/>
      <c r="L22" s="7"/>
      <c r="M22" s="72"/>
      <c r="P22" s="7"/>
      <c r="Q22" s="7"/>
      <c r="R22" s="7"/>
      <c r="S22" s="7"/>
      <c r="T22" s="15"/>
      <c r="U22" s="15"/>
      <c r="V22" s="14"/>
      <c r="W22" s="7"/>
      <c r="X22" s="11"/>
      <c r="Y22" s="11"/>
    </row>
    <row r="23" spans="1:25" ht="15">
      <c r="A23" t="s">
        <v>107</v>
      </c>
      <c r="C23" s="7">
        <f>C16*C18</f>
        <v>87.952</v>
      </c>
      <c r="D23" s="7">
        <f>D16*D18</f>
        <v>64.448</v>
      </c>
      <c r="E23" s="7">
        <f>E16*E18</f>
        <v>67.7586</v>
      </c>
      <c r="F23" s="15">
        <v>65.482</v>
      </c>
      <c r="G23" s="7">
        <f>G16*G18</f>
        <v>68.72699999999999</v>
      </c>
      <c r="H23" s="7">
        <f>H16*H18</f>
        <v>64.11749999999999</v>
      </c>
      <c r="I23" s="14">
        <f>AVERAGE(C23:H23)</f>
        <v>69.74751666666666</v>
      </c>
      <c r="J23" s="7">
        <f>STDEV(C23:H23)/SQRT(6)</f>
        <v>3.7165263988852852</v>
      </c>
      <c r="K23" s="7"/>
      <c r="L23" s="7"/>
      <c r="M23" s="72"/>
      <c r="N23" t="s">
        <v>107</v>
      </c>
      <c r="P23" s="7">
        <f aca="true" t="shared" si="7" ref="P23:U23">P16*P18</f>
        <v>44.3155</v>
      </c>
      <c r="Q23" s="7">
        <f>Q16*Q18</f>
        <v>34.816</v>
      </c>
      <c r="R23" s="7">
        <f t="shared" si="7"/>
        <v>43.2745</v>
      </c>
      <c r="S23" s="7">
        <f t="shared" si="7"/>
        <v>37.7846</v>
      </c>
      <c r="T23" s="7">
        <f t="shared" si="7"/>
        <v>32.7675</v>
      </c>
      <c r="U23" s="7">
        <f t="shared" si="7"/>
        <v>41.132000000000005</v>
      </c>
      <c r="V23" s="14">
        <f>AVERAGE(P23:U23)</f>
        <v>39.01501666666667</v>
      </c>
      <c r="W23" s="7">
        <f>STDEV(P23:U23)/SQRT(6)</f>
        <v>1.9052302652464634</v>
      </c>
      <c r="X23" s="11"/>
      <c r="Y23" s="11"/>
    </row>
    <row r="24" spans="1:25" ht="15">
      <c r="A24" t="s">
        <v>108</v>
      </c>
      <c r="C24" s="7">
        <f>C16*C19</f>
        <v>78.6788</v>
      </c>
      <c r="D24" s="7">
        <f>D16*D19</f>
        <v>71.0624</v>
      </c>
      <c r="E24" s="7">
        <f>E16*E19</f>
        <v>74.7228</v>
      </c>
      <c r="F24" s="15">
        <v>72.22</v>
      </c>
      <c r="G24" s="7">
        <f>G16*G19</f>
        <v>77.37599999999999</v>
      </c>
      <c r="H24" s="7">
        <f>H16*H19</f>
        <v>70.1765</v>
      </c>
      <c r="I24" s="14">
        <f>AVERAGE(C24:H24)</f>
        <v>74.03941666666667</v>
      </c>
      <c r="J24" s="7">
        <f>STDEV(C24:H24)/SQRT(6)</f>
        <v>1.41678873099622</v>
      </c>
      <c r="K24" s="7"/>
      <c r="L24" s="7"/>
      <c r="N24" t="s">
        <v>108</v>
      </c>
      <c r="P24" s="7">
        <f aca="true" t="shared" si="8" ref="P24:U24">P16*P19</f>
        <v>46.4458</v>
      </c>
      <c r="Q24" s="7">
        <f t="shared" si="8"/>
        <v>45.3888</v>
      </c>
      <c r="R24" s="7">
        <f t="shared" si="8"/>
        <v>47.329</v>
      </c>
      <c r="S24" s="7">
        <f t="shared" si="8"/>
        <v>52.1148</v>
      </c>
      <c r="T24" s="7">
        <f t="shared" si="8"/>
        <v>45.9255</v>
      </c>
      <c r="U24" s="7">
        <f t="shared" si="8"/>
        <v>48.932</v>
      </c>
      <c r="V24" s="14">
        <f>AVERAGE(P24:U24)</f>
        <v>47.68931666666666</v>
      </c>
      <c r="W24" s="7">
        <f>STDEV(P24:U24)/SQRT(6)</f>
        <v>1.0199469360108007</v>
      </c>
      <c r="X24" s="11"/>
      <c r="Y24" s="11"/>
    </row>
    <row r="25" spans="1:25" s="52" customFormat="1" ht="15">
      <c r="A25" s="52" t="s">
        <v>1</v>
      </c>
      <c r="C25" s="51">
        <f aca="true" t="shared" si="9" ref="C25:H25">C16*C20</f>
        <v>287.517</v>
      </c>
      <c r="D25" s="51">
        <f t="shared" si="9"/>
        <v>262.032</v>
      </c>
      <c r="E25" s="51">
        <f t="shared" si="9"/>
        <v>267.83700000000005</v>
      </c>
      <c r="F25" s="51">
        <f t="shared" si="9"/>
        <v>242.64000000000001</v>
      </c>
      <c r="G25" s="51">
        <f t="shared" si="9"/>
        <v>286.905</v>
      </c>
      <c r="H25" s="51">
        <f t="shared" si="9"/>
        <v>257.964</v>
      </c>
      <c r="I25" s="53">
        <f>AVERAGE(C25:H25)</f>
        <v>267.4825</v>
      </c>
      <c r="J25" s="51">
        <f>STDEV(C25:H25)/SQRT(6)</f>
        <v>7.109148953988754</v>
      </c>
      <c r="K25" s="51"/>
      <c r="L25" s="51"/>
      <c r="N25" s="52" t="s">
        <v>1</v>
      </c>
      <c r="P25" s="51">
        <f>P16*P20</f>
        <v>156.66910000000001</v>
      </c>
      <c r="Q25" s="51">
        <f aca="true" t="shared" si="10" ref="Q25:W25">Q16*Q20</f>
        <v>158.08</v>
      </c>
      <c r="R25" s="51">
        <f t="shared" si="10"/>
        <v>163.82299999999998</v>
      </c>
      <c r="S25" s="51">
        <f t="shared" si="10"/>
        <v>166.92079999999999</v>
      </c>
      <c r="T25" s="51">
        <f t="shared" si="10"/>
        <v>159.06900000000002</v>
      </c>
      <c r="U25" s="51">
        <f t="shared" si="10"/>
        <v>157.43</v>
      </c>
      <c r="V25" s="51">
        <f t="shared" si="10"/>
        <v>160.3542416666667</v>
      </c>
      <c r="W25" s="51">
        <f t="shared" si="10"/>
        <v>0.011878821607287761</v>
      </c>
      <c r="X25" s="56"/>
      <c r="Y25" s="56"/>
    </row>
    <row r="26" spans="1:25" s="52" customFormat="1" ht="15">
      <c r="A26" s="52" t="s">
        <v>204</v>
      </c>
      <c r="C26" s="68">
        <f>C16*C21</f>
        <v>5146.581104314139</v>
      </c>
      <c r="D26" s="68">
        <f>D16*D21</f>
        <v>3900.9132739750253</v>
      </c>
      <c r="E26" s="68">
        <f>E16*E21</f>
        <v>4450.366093212595</v>
      </c>
      <c r="F26" s="68">
        <f>F16*F21</f>
        <v>4979.131930119861</v>
      </c>
      <c r="G26" s="68">
        <f>G16*G21</f>
        <v>3596.5654019904186</v>
      </c>
      <c r="H26" s="68">
        <f>H16*H21</f>
        <v>4559.970187842104</v>
      </c>
      <c r="I26" s="65">
        <f>AVERAGE(C26:H26)</f>
        <v>4438.921331909024</v>
      </c>
      <c r="J26" s="66">
        <f>STDEV(C26:H26)/SQRT(6)</f>
        <v>245.3847207315308</v>
      </c>
      <c r="K26" s="66"/>
      <c r="L26" s="66"/>
      <c r="N26" s="52" t="s">
        <v>204</v>
      </c>
      <c r="P26" s="68">
        <f aca="true" t="shared" si="11" ref="P26:U26">P16*P21</f>
        <v>2767.334044966115</v>
      </c>
      <c r="Q26" s="68">
        <f t="shared" si="11"/>
        <v>2464.2725852055996</v>
      </c>
      <c r="R26" s="68">
        <f t="shared" si="11"/>
        <v>2146.184965508609</v>
      </c>
      <c r="S26" s="68">
        <f t="shared" si="11"/>
        <v>2430.0460591392352</v>
      </c>
      <c r="T26" s="68">
        <f t="shared" si="11"/>
        <v>2435.4045608903966</v>
      </c>
      <c r="U26" s="68">
        <f t="shared" si="11"/>
        <v>2692.3751145978513</v>
      </c>
      <c r="V26" s="65">
        <f>AVERAGE(P26:U26)</f>
        <v>2489.2695550513013</v>
      </c>
      <c r="W26" s="66">
        <f>STDEV(P26:U26)/SQRT(6)</f>
        <v>90.05784678332296</v>
      </c>
      <c r="X26" s="56"/>
      <c r="Y26" s="56"/>
    </row>
    <row r="27" spans="3:25" ht="15">
      <c r="C27" s="7"/>
      <c r="D27" s="7"/>
      <c r="E27" s="7"/>
      <c r="F27" s="7"/>
      <c r="G27" s="7"/>
      <c r="H27" s="7"/>
      <c r="I27" s="14"/>
      <c r="J27" s="7"/>
      <c r="K27" s="7"/>
      <c r="L27" s="7"/>
      <c r="P27" s="7"/>
      <c r="Q27" s="7"/>
      <c r="R27" s="7"/>
      <c r="S27" s="7"/>
      <c r="T27" s="15"/>
      <c r="U27" s="15"/>
      <c r="V27" s="14"/>
      <c r="W27" s="7"/>
      <c r="X27" s="11"/>
      <c r="Y27" s="11"/>
    </row>
    <row r="28" spans="1:25" ht="15">
      <c r="A28" s="91" t="s">
        <v>110</v>
      </c>
      <c r="B28" s="91"/>
      <c r="C28" s="7"/>
      <c r="D28" s="7"/>
      <c r="E28" s="7"/>
      <c r="F28" s="7"/>
      <c r="G28" s="7"/>
      <c r="H28" s="7"/>
      <c r="I28" s="14"/>
      <c r="J28" s="7"/>
      <c r="K28" s="7"/>
      <c r="L28" s="7"/>
      <c r="N28" s="91" t="s">
        <v>110</v>
      </c>
      <c r="O28" s="91"/>
      <c r="P28" s="7"/>
      <c r="Q28" s="7"/>
      <c r="R28" s="7"/>
      <c r="S28" s="7"/>
      <c r="T28" s="15"/>
      <c r="U28" s="15"/>
      <c r="V28" s="14"/>
      <c r="W28" s="7"/>
      <c r="X28" s="11"/>
      <c r="Y28" s="11"/>
    </row>
    <row r="29" spans="3:25" ht="15">
      <c r="C29" s="7"/>
      <c r="D29" s="7"/>
      <c r="E29" s="7"/>
      <c r="F29" s="7"/>
      <c r="G29" s="7"/>
      <c r="H29" s="7"/>
      <c r="I29" s="14"/>
      <c r="J29" s="7"/>
      <c r="K29" s="7"/>
      <c r="L29" s="7"/>
      <c r="P29" s="7"/>
      <c r="Q29" s="7"/>
      <c r="R29" s="7"/>
      <c r="S29" s="7"/>
      <c r="T29" s="15"/>
      <c r="U29" s="15"/>
      <c r="V29" s="14"/>
      <c r="W29" s="7"/>
      <c r="X29" s="11"/>
      <c r="Y29" s="11"/>
    </row>
    <row r="30" spans="1:25" ht="15">
      <c r="A30" t="s">
        <v>111</v>
      </c>
      <c r="C30" s="7">
        <f aca="true" t="shared" si="12" ref="C30:H33">C23-C11</f>
        <v>36.992999999999995</v>
      </c>
      <c r="D30" s="7">
        <f t="shared" si="12"/>
        <v>17.94299999999999</v>
      </c>
      <c r="E30" s="7">
        <f t="shared" si="12"/>
        <v>21.7776</v>
      </c>
      <c r="F30" s="7">
        <f t="shared" si="12"/>
        <v>21.465999999999994</v>
      </c>
      <c r="G30" s="7">
        <f t="shared" si="12"/>
        <v>21.828999999999986</v>
      </c>
      <c r="H30" s="7">
        <f t="shared" si="12"/>
        <v>20.363499999999988</v>
      </c>
      <c r="I30" s="22">
        <f>AVERAGE(C30:H30)</f>
        <v>23.395349999999993</v>
      </c>
      <c r="J30" s="23">
        <f>STDEV(C30:H30)/SQRT(6)</f>
        <v>2.7845363424634995</v>
      </c>
      <c r="K30" s="23"/>
      <c r="L30" s="23"/>
      <c r="N30" t="s">
        <v>111</v>
      </c>
      <c r="P30" s="7">
        <f aca="true" t="shared" si="13" ref="P30:U33">P23-P11</f>
        <v>12.044800000000002</v>
      </c>
      <c r="Q30" s="7">
        <f t="shared" si="13"/>
        <v>2.964400000000005</v>
      </c>
      <c r="R30" s="7">
        <f t="shared" si="13"/>
        <v>10.165600000000005</v>
      </c>
      <c r="S30" s="7">
        <f t="shared" si="13"/>
        <v>3.2787000000000006</v>
      </c>
      <c r="T30" s="7">
        <f t="shared" si="13"/>
        <v>1.1952999999999996</v>
      </c>
      <c r="U30" s="7">
        <f t="shared" si="13"/>
        <v>9.001000000000005</v>
      </c>
      <c r="V30" s="22">
        <f>AVERAGE(P30:U30)</f>
        <v>6.4416333333333355</v>
      </c>
      <c r="W30" s="23">
        <f>STDEV(P30:U30)/SQRT(6)</f>
        <v>1.838777442880037</v>
      </c>
      <c r="X30" s="15">
        <f>AVERAGE(P30:R30,T30:U30)</f>
        <v>7.074220000000002</v>
      </c>
      <c r="Y30" s="28">
        <f>STDEV(P30:R30,T30:U30)/SQRT(5)</f>
        <v>2.114569670263906</v>
      </c>
    </row>
    <row r="31" spans="1:25" ht="15">
      <c r="A31" t="s">
        <v>112</v>
      </c>
      <c r="C31" s="7">
        <f t="shared" si="12"/>
        <v>4.379799999999989</v>
      </c>
      <c r="D31" s="7">
        <f t="shared" si="12"/>
        <v>3.25739999999999</v>
      </c>
      <c r="E31" s="7">
        <f t="shared" si="12"/>
        <v>7.68180000000001</v>
      </c>
      <c r="F31" s="7">
        <f t="shared" si="12"/>
        <v>8.043999999999997</v>
      </c>
      <c r="G31" s="7">
        <f t="shared" si="12"/>
        <v>8.99799999999999</v>
      </c>
      <c r="H31" s="7">
        <f t="shared" si="12"/>
        <v>6.3825</v>
      </c>
      <c r="I31" s="22">
        <f>AVERAGE(C31:H31)</f>
        <v>6.457249999999996</v>
      </c>
      <c r="J31" s="23">
        <f>STDEV(C31:H31)/SQRT(6)</f>
        <v>0.9134756868685681</v>
      </c>
      <c r="K31" s="23"/>
      <c r="L31" s="23"/>
      <c r="N31" t="s">
        <v>112</v>
      </c>
      <c r="P31" s="7">
        <f t="shared" si="13"/>
        <v>1.169799999999995</v>
      </c>
      <c r="Q31" s="7">
        <f t="shared" si="13"/>
        <v>0.700800000000001</v>
      </c>
      <c r="R31" s="7">
        <f t="shared" si="13"/>
        <v>0.8769999999999953</v>
      </c>
      <c r="S31" s="7">
        <f t="shared" si="13"/>
        <v>3.7028000000000034</v>
      </c>
      <c r="T31" s="7">
        <f t="shared" si="13"/>
        <v>1.6295000000000002</v>
      </c>
      <c r="U31" s="7">
        <f t="shared" si="13"/>
        <v>3.852000000000004</v>
      </c>
      <c r="V31" s="22">
        <f>AVERAGE(P31:U31)</f>
        <v>1.9886499999999998</v>
      </c>
      <c r="W31" s="23">
        <f>STDEV(P31:U31)/SQRT(6)</f>
        <v>0.5803507799885643</v>
      </c>
      <c r="X31" s="11"/>
      <c r="Y31" s="11"/>
    </row>
    <row r="32" spans="1:25" s="52" customFormat="1" ht="15">
      <c r="A32" s="52" t="s">
        <v>3</v>
      </c>
      <c r="C32" s="51">
        <f t="shared" si="12"/>
        <v>49.44900000000001</v>
      </c>
      <c r="D32" s="51">
        <f t="shared" si="12"/>
        <v>44.77199999999999</v>
      </c>
      <c r="E32" s="51">
        <f t="shared" si="12"/>
        <v>53.02500000000006</v>
      </c>
      <c r="F32" s="51">
        <f t="shared" si="12"/>
        <v>37.00800000000001</v>
      </c>
      <c r="G32" s="51">
        <f t="shared" si="12"/>
        <v>67.80899999999997</v>
      </c>
      <c r="H32" s="51">
        <f t="shared" si="12"/>
        <v>53.55600000000001</v>
      </c>
      <c r="I32" s="57">
        <f>AVERAGE(C32:H32)</f>
        <v>50.9365</v>
      </c>
      <c r="J32" s="58">
        <f>STDEV(C32:H32)/SQRT(6)</f>
        <v>4.203655938584906</v>
      </c>
      <c r="K32" s="58"/>
      <c r="L32" s="58"/>
      <c r="N32" s="52" t="s">
        <v>5</v>
      </c>
      <c r="P32" s="51">
        <f t="shared" si="13"/>
        <v>20.379100000000022</v>
      </c>
      <c r="Q32" s="51">
        <f t="shared" si="13"/>
        <v>23.56000000000003</v>
      </c>
      <c r="R32" s="51">
        <f t="shared" si="13"/>
        <v>23.992999999999995</v>
      </c>
      <c r="S32" s="51">
        <f t="shared" si="13"/>
        <v>21.190799999999996</v>
      </c>
      <c r="T32" s="51">
        <f t="shared" si="13"/>
        <v>25.729000000000013</v>
      </c>
      <c r="U32" s="51">
        <f t="shared" si="13"/>
        <v>21.730000000000018</v>
      </c>
      <c r="V32" s="57">
        <f>AVERAGE(P32:U32)</f>
        <v>22.763650000000013</v>
      </c>
      <c r="W32" s="58">
        <f>STDEV(P32:U32)/SQRT(6)</f>
        <v>0.8199012850134193</v>
      </c>
      <c r="X32" s="56"/>
      <c r="Y32" s="56"/>
    </row>
    <row r="33" spans="1:25" s="52" customFormat="1" ht="15">
      <c r="A33" s="52" t="s">
        <v>227</v>
      </c>
      <c r="C33" s="68">
        <f t="shared" si="12"/>
        <v>1272.1411043141388</v>
      </c>
      <c r="D33" s="68">
        <f t="shared" si="12"/>
        <v>365.1132739750251</v>
      </c>
      <c r="E33" s="68">
        <f t="shared" si="12"/>
        <v>954.4060932125944</v>
      </c>
      <c r="F33" s="68">
        <f t="shared" si="12"/>
        <v>1632.5719301198606</v>
      </c>
      <c r="G33" s="68">
        <f t="shared" si="12"/>
        <v>30.88540199041836</v>
      </c>
      <c r="H33" s="68">
        <f t="shared" si="12"/>
        <v>1233.3301878421034</v>
      </c>
      <c r="I33" s="65">
        <f>AVERAGE(C33:H33)</f>
        <v>914.7413319090234</v>
      </c>
      <c r="J33" s="66">
        <f>STDEV(C33:H33)/SQRT(6)</f>
        <v>246.93992686329986</v>
      </c>
      <c r="K33" s="65">
        <f>AVERAGE(C33:F33,H33)</f>
        <v>1091.5125178927444</v>
      </c>
      <c r="L33" s="66">
        <f>STDEV(C33:F33,H33)/SQRT(5)</f>
        <v>211.17981183754486</v>
      </c>
      <c r="N33" s="52" t="s">
        <v>205</v>
      </c>
      <c r="P33" s="68">
        <f t="shared" si="13"/>
        <v>358.0040449661151</v>
      </c>
      <c r="Q33" s="68">
        <f t="shared" si="13"/>
        <v>86.23258520559966</v>
      </c>
      <c r="R33" s="68">
        <f t="shared" si="13"/>
        <v>-325.72503449139094</v>
      </c>
      <c r="S33" s="68">
        <f t="shared" si="13"/>
        <v>-146.1639408607648</v>
      </c>
      <c r="T33" s="68">
        <f t="shared" si="13"/>
        <v>78.22456089039679</v>
      </c>
      <c r="U33" s="68">
        <f t="shared" si="13"/>
        <v>293.4751145978512</v>
      </c>
      <c r="V33" s="65">
        <f>AVERAGE(P33:U33)</f>
        <v>57.341221717967834</v>
      </c>
      <c r="W33" s="66">
        <f>STDEV(P33:U33)/SQRT(6)</f>
        <v>105.76424746131852</v>
      </c>
      <c r="X33" s="90">
        <f>AVERAGE(P33:Q33,S33:U33)</f>
        <v>133.9544729598396</v>
      </c>
      <c r="Y33" s="56">
        <f>STDEV(P33:Q33,S33:U33)/SQRT(5)</f>
        <v>89.30133628794857</v>
      </c>
    </row>
    <row r="34" spans="3:25" ht="15">
      <c r="C34" s="7"/>
      <c r="D34" s="7"/>
      <c r="E34" s="7"/>
      <c r="F34" s="7"/>
      <c r="G34" s="7"/>
      <c r="H34" s="7"/>
      <c r="I34" s="22"/>
      <c r="J34" s="23"/>
      <c r="K34" s="23"/>
      <c r="L34" s="23"/>
      <c r="P34" s="7"/>
      <c r="Q34" s="7"/>
      <c r="R34" s="7"/>
      <c r="S34" s="7"/>
      <c r="T34" s="7"/>
      <c r="U34" s="7"/>
      <c r="V34" s="22"/>
      <c r="W34" s="23"/>
      <c r="X34" s="11"/>
      <c r="Y34" s="11"/>
    </row>
    <row r="35" spans="1:25" s="52" customFormat="1" ht="15">
      <c r="A35" s="52" t="s">
        <v>4</v>
      </c>
      <c r="C35" s="51">
        <f aca="true" t="shared" si="14" ref="C35:H35">SUM(C30:C32)</f>
        <v>90.8218</v>
      </c>
      <c r="D35" s="51">
        <f t="shared" si="14"/>
        <v>65.97239999999996</v>
      </c>
      <c r="E35" s="51">
        <f t="shared" si="14"/>
        <v>82.48440000000008</v>
      </c>
      <c r="F35" s="51">
        <f t="shared" si="14"/>
        <v>66.518</v>
      </c>
      <c r="G35" s="51">
        <f t="shared" si="14"/>
        <v>98.63599999999994</v>
      </c>
      <c r="H35" s="51">
        <f t="shared" si="14"/>
        <v>80.30199999999999</v>
      </c>
      <c r="I35" s="57">
        <f>AVERAGE(C35:H35)</f>
        <v>80.7891</v>
      </c>
      <c r="J35" s="58">
        <f>STDEV(C35:H35)/SQRT(6)</f>
        <v>5.308725871933207</v>
      </c>
      <c r="K35" s="58"/>
      <c r="L35" s="58"/>
      <c r="N35" s="52" t="s">
        <v>6</v>
      </c>
      <c r="P35" s="51">
        <f aca="true" t="shared" si="15" ref="P35:U35">SUM(P30:P32)</f>
        <v>33.59370000000002</v>
      </c>
      <c r="Q35" s="51">
        <f t="shared" si="15"/>
        <v>27.225200000000036</v>
      </c>
      <c r="R35" s="51">
        <f t="shared" si="15"/>
        <v>35.035599999999995</v>
      </c>
      <c r="S35" s="51">
        <f t="shared" si="15"/>
        <v>28.1723</v>
      </c>
      <c r="T35" s="51">
        <f t="shared" si="15"/>
        <v>28.553800000000013</v>
      </c>
      <c r="U35" s="51">
        <f t="shared" si="15"/>
        <v>34.58300000000003</v>
      </c>
      <c r="V35" s="57">
        <f>AVERAGE(P35:U35)</f>
        <v>31.19393333333335</v>
      </c>
      <c r="W35" s="58">
        <f>STDEV(P35:U35)/SQRT(6)</f>
        <v>1.4589319380210133</v>
      </c>
      <c r="X35" s="56"/>
      <c r="Y35" s="56"/>
    </row>
    <row r="36" spans="3:25" ht="15">
      <c r="C36" s="7"/>
      <c r="D36" s="7"/>
      <c r="E36" s="7"/>
      <c r="F36" s="7"/>
      <c r="G36" s="7"/>
      <c r="H36" s="7"/>
      <c r="I36" s="14"/>
      <c r="J36" s="7"/>
      <c r="K36" s="7"/>
      <c r="L36" s="7"/>
      <c r="P36" s="7"/>
      <c r="Q36" s="7"/>
      <c r="R36" s="7"/>
      <c r="S36" s="7"/>
      <c r="T36" s="15"/>
      <c r="U36" s="15"/>
      <c r="V36" s="14"/>
      <c r="W36" s="7"/>
      <c r="X36" s="11"/>
      <c r="Y36" s="11"/>
    </row>
    <row r="37" spans="1:25" ht="15">
      <c r="A37" s="1" t="s">
        <v>113</v>
      </c>
      <c r="C37" s="7"/>
      <c r="D37" s="7"/>
      <c r="E37" s="7"/>
      <c r="F37" s="7"/>
      <c r="G37" s="7"/>
      <c r="H37" s="7"/>
      <c r="I37" s="14"/>
      <c r="J37" s="7"/>
      <c r="K37" s="7"/>
      <c r="L37" s="7"/>
      <c r="N37" s="1" t="s">
        <v>113</v>
      </c>
      <c r="P37" s="7"/>
      <c r="Q37" s="7"/>
      <c r="R37" s="7"/>
      <c r="S37" s="7"/>
      <c r="T37" s="15"/>
      <c r="U37" s="15"/>
      <c r="V37" s="14"/>
      <c r="W37" s="7"/>
      <c r="X37" s="11"/>
      <c r="Y37" s="11"/>
    </row>
    <row r="38" spans="3:25" ht="15">
      <c r="C38" s="7"/>
      <c r="D38" s="7"/>
      <c r="E38" s="7"/>
      <c r="F38" s="7"/>
      <c r="G38" s="7"/>
      <c r="H38" s="7"/>
      <c r="I38" s="14"/>
      <c r="J38" s="7"/>
      <c r="K38" s="7"/>
      <c r="L38" s="7"/>
      <c r="P38" s="7"/>
      <c r="Q38" s="7"/>
      <c r="R38" s="7"/>
      <c r="S38" s="7"/>
      <c r="T38" s="15"/>
      <c r="U38" s="15"/>
      <c r="V38" s="14"/>
      <c r="W38" s="7"/>
      <c r="X38" s="11"/>
      <c r="Y38" s="11"/>
    </row>
    <row r="39" spans="1:25" ht="15">
      <c r="A39" t="s">
        <v>111</v>
      </c>
      <c r="C39" s="7">
        <v>78.72369230769232</v>
      </c>
      <c r="D39" s="7">
        <v>78.72369230769232</v>
      </c>
      <c r="E39" s="7">
        <v>74.91158974358974</v>
      </c>
      <c r="F39" s="7">
        <v>74.91158974358974</v>
      </c>
      <c r="G39" s="7">
        <v>85.15897435897435</v>
      </c>
      <c r="H39" s="7">
        <v>85.15897435897435</v>
      </c>
      <c r="I39" s="14">
        <f>AVERAGE(C39:H39)</f>
        <v>79.59808547008545</v>
      </c>
      <c r="J39" s="7">
        <f>STDEV(C39:H39)/SQRT(6)</f>
        <v>1.8912304783126401</v>
      </c>
      <c r="K39" s="7"/>
      <c r="L39" s="7"/>
      <c r="N39" t="s">
        <v>111</v>
      </c>
      <c r="P39" s="7">
        <v>53.784615384615385</v>
      </c>
      <c r="Q39" s="7">
        <v>53.784615384615385</v>
      </c>
      <c r="R39" s="7">
        <v>58.5025641025641</v>
      </c>
      <c r="S39" s="7">
        <v>58.5025641025641</v>
      </c>
      <c r="T39" s="15">
        <v>56.08697435897435</v>
      </c>
      <c r="U39" s="15">
        <v>56.08697435897435</v>
      </c>
      <c r="V39" s="14">
        <f>AVERAGE(P39:U39)</f>
        <v>56.12471794871795</v>
      </c>
      <c r="W39" s="7">
        <f>STDEV(P39:U39)/SQRT(6)</f>
        <v>0.8614583340841113</v>
      </c>
      <c r="X39" s="11"/>
      <c r="Y39" s="11"/>
    </row>
    <row r="40" spans="1:25" ht="15">
      <c r="A40" t="s">
        <v>112</v>
      </c>
      <c r="C40" s="7">
        <v>71.16088235294117</v>
      </c>
      <c r="D40" s="7">
        <v>71.16088235294117</v>
      </c>
      <c r="E40" s="7">
        <v>67.715</v>
      </c>
      <c r="F40" s="7">
        <v>67.715</v>
      </c>
      <c r="G40" s="7">
        <v>76.9779411764706</v>
      </c>
      <c r="H40" s="7">
        <v>76.9779411764706</v>
      </c>
      <c r="I40" s="14">
        <f>AVERAGE(C40:H40)</f>
        <v>71.95127450980392</v>
      </c>
      <c r="J40" s="7">
        <f>STDEV(C40:H40)/SQRT(6)</f>
        <v>1.70954417436972</v>
      </c>
      <c r="K40" s="7"/>
      <c r="L40" s="7"/>
      <c r="N40" t="s">
        <v>112</v>
      </c>
      <c r="P40" s="7">
        <v>48.61764705882352</v>
      </c>
      <c r="Q40" s="7">
        <v>48.61764705882352</v>
      </c>
      <c r="R40" s="7">
        <v>52.882352941176464</v>
      </c>
      <c r="S40" s="7">
        <v>52.882352941176464</v>
      </c>
      <c r="T40" s="15">
        <v>50.69882352941176</v>
      </c>
      <c r="U40" s="15">
        <v>50.69882352941176</v>
      </c>
      <c r="V40" s="14">
        <f>AVERAGE(P40:U40)</f>
        <v>50.73294117647058</v>
      </c>
      <c r="W40" s="7">
        <f>STDEV(P40:U40)/SQRT(6)</f>
        <v>0.7786999487285886</v>
      </c>
      <c r="X40" s="11"/>
      <c r="Y40" s="11"/>
    </row>
    <row r="41" spans="1:25" s="59" customFormat="1" ht="15">
      <c r="A41" s="52" t="s">
        <v>205</v>
      </c>
      <c r="C41" s="69">
        <v>8343</v>
      </c>
      <c r="D41" s="69">
        <v>8343</v>
      </c>
      <c r="E41" s="69">
        <v>7939</v>
      </c>
      <c r="F41" s="69">
        <v>7939</v>
      </c>
      <c r="G41" s="69">
        <v>9025</v>
      </c>
      <c r="H41" s="69">
        <v>9025</v>
      </c>
      <c r="I41" s="65">
        <f>AVERAGE(C41:H41)</f>
        <v>8435.666666666666</v>
      </c>
      <c r="J41" s="66">
        <f>STDEV(C41:H41)/SQRT(6)</f>
        <v>200.4293169950705</v>
      </c>
      <c r="K41" s="66"/>
      <c r="L41" s="66"/>
      <c r="N41" s="52" t="s">
        <v>205</v>
      </c>
      <c r="P41" s="59">
        <v>5700</v>
      </c>
      <c r="Q41" s="59">
        <v>5700</v>
      </c>
      <c r="R41" s="59">
        <v>6200</v>
      </c>
      <c r="S41" s="59">
        <v>6200</v>
      </c>
      <c r="T41" s="59">
        <v>5944</v>
      </c>
      <c r="U41" s="59">
        <v>5944</v>
      </c>
      <c r="V41" s="65">
        <f>AVERAGE(P41:U41)</f>
        <v>5948</v>
      </c>
      <c r="W41" s="66">
        <f>STDEV(P41:U41)/SQRT(6)</f>
        <v>91.29585605783723</v>
      </c>
      <c r="X41" s="11"/>
      <c r="Y41" s="11"/>
    </row>
    <row r="42" spans="3:25" ht="15">
      <c r="C42" s="7"/>
      <c r="D42" s="7"/>
      <c r="E42" s="7"/>
      <c r="F42" s="7"/>
      <c r="G42" s="7"/>
      <c r="H42" s="7"/>
      <c r="I42" s="14"/>
      <c r="J42" s="7"/>
      <c r="K42" s="7"/>
      <c r="L42" s="7"/>
      <c r="P42" s="7"/>
      <c r="Q42" s="7"/>
      <c r="R42" s="7"/>
      <c r="S42" s="7"/>
      <c r="T42" s="15"/>
      <c r="U42" s="15"/>
      <c r="V42" s="14"/>
      <c r="W42" s="7"/>
      <c r="X42" s="11"/>
      <c r="Y42" s="11"/>
    </row>
    <row r="43" spans="1:25" ht="15">
      <c r="A43" s="91" t="s">
        <v>114</v>
      </c>
      <c r="B43" s="91"/>
      <c r="C43" s="7"/>
      <c r="D43" s="7"/>
      <c r="E43" s="7"/>
      <c r="F43" s="7"/>
      <c r="G43" s="7"/>
      <c r="H43" s="7"/>
      <c r="I43" s="14"/>
      <c r="J43" s="7"/>
      <c r="K43" s="7"/>
      <c r="L43" s="7"/>
      <c r="N43" s="91" t="s">
        <v>114</v>
      </c>
      <c r="O43" s="91"/>
      <c r="P43" s="7"/>
      <c r="Q43" s="7"/>
      <c r="R43" s="7"/>
      <c r="S43" s="7"/>
      <c r="T43" s="15"/>
      <c r="U43" s="15"/>
      <c r="V43" s="14"/>
      <c r="W43" s="7"/>
      <c r="X43" s="11"/>
      <c r="Y43" s="11"/>
    </row>
    <row r="44" spans="3:25" ht="15">
      <c r="C44" s="7"/>
      <c r="D44" s="7"/>
      <c r="E44" s="7"/>
      <c r="F44" s="7"/>
      <c r="G44" s="7"/>
      <c r="H44" s="7"/>
      <c r="I44" s="14"/>
      <c r="J44" s="7"/>
      <c r="K44" s="7"/>
      <c r="L44" s="7"/>
      <c r="P44" s="7"/>
      <c r="Q44" s="7"/>
      <c r="R44" s="7"/>
      <c r="S44" s="7"/>
      <c r="T44" s="15"/>
      <c r="U44" s="15"/>
      <c r="V44" s="14"/>
      <c r="W44" s="7"/>
      <c r="X44" s="11"/>
      <c r="Y44" s="11"/>
    </row>
    <row r="45" spans="1:25" ht="15">
      <c r="A45" t="s">
        <v>111</v>
      </c>
      <c r="C45" s="7">
        <f aca="true" t="shared" si="16" ref="C45:H46">C30*100/C39</f>
        <v>46.99093616622108</v>
      </c>
      <c r="D45" s="7">
        <f t="shared" si="16"/>
        <v>22.792376061160343</v>
      </c>
      <c r="E45" s="7">
        <f t="shared" si="16"/>
        <v>29.071069075614602</v>
      </c>
      <c r="F45" s="7">
        <f t="shared" si="16"/>
        <v>28.65511207741638</v>
      </c>
      <c r="G45" s="7">
        <f t="shared" si="16"/>
        <v>25.633234975310117</v>
      </c>
      <c r="H45" s="7">
        <f t="shared" si="16"/>
        <v>23.912335902685765</v>
      </c>
      <c r="I45" s="22">
        <f>AVERAGE(C45:H45)</f>
        <v>29.50917737640138</v>
      </c>
      <c r="J45" s="23">
        <f>STDEV(C45:H45)/SQRT(6)</f>
        <v>3.642326365985035</v>
      </c>
      <c r="K45" s="23"/>
      <c r="L45" s="23"/>
      <c r="N45" t="s">
        <v>111</v>
      </c>
      <c r="P45" s="7">
        <f aca="true" t="shared" si="17" ref="P45:U46">P30*100/P39</f>
        <v>22.394508009153324</v>
      </c>
      <c r="Q45" s="7">
        <f t="shared" si="17"/>
        <v>5.511613272311222</v>
      </c>
      <c r="R45" s="7">
        <f t="shared" si="17"/>
        <v>17.37633239831698</v>
      </c>
      <c r="S45" s="7">
        <f t="shared" si="17"/>
        <v>5.60436974053296</v>
      </c>
      <c r="T45" s="7">
        <f t="shared" si="17"/>
        <v>2.1311543609924506</v>
      </c>
      <c r="U45" s="7">
        <f t="shared" si="17"/>
        <v>16.04828946983441</v>
      </c>
      <c r="V45" s="22">
        <f>AVERAGE(P45:U45)</f>
        <v>11.51104454185689</v>
      </c>
      <c r="W45" s="23">
        <f>STDEV(P45:U45)/SQRT(6)</f>
        <v>3.3281741380284706</v>
      </c>
      <c r="X45" s="11"/>
      <c r="Y45" s="11"/>
    </row>
    <row r="46" spans="1:25" ht="15">
      <c r="A46" t="s">
        <v>112</v>
      </c>
      <c r="C46" s="7">
        <f t="shared" si="16"/>
        <v>6.154785965521359</v>
      </c>
      <c r="D46" s="7">
        <f t="shared" si="16"/>
        <v>4.577514910290256</v>
      </c>
      <c r="E46" s="7">
        <f t="shared" si="16"/>
        <v>11.344310714022019</v>
      </c>
      <c r="F46" s="7">
        <f t="shared" si="16"/>
        <v>11.879199586502246</v>
      </c>
      <c r="G46" s="7">
        <f t="shared" si="16"/>
        <v>11.689062947750488</v>
      </c>
      <c r="H46" s="7">
        <f t="shared" si="16"/>
        <v>8.291336326296685</v>
      </c>
      <c r="I46" s="22">
        <f>AVERAGE(C46:H46)</f>
        <v>8.989368408397175</v>
      </c>
      <c r="J46" s="23">
        <f>STDEV(C46:H46)/SQRT(6)</f>
        <v>1.2802576017927478</v>
      </c>
      <c r="K46" s="23"/>
      <c r="L46" s="23"/>
      <c r="N46" t="s">
        <v>112</v>
      </c>
      <c r="P46" s="7">
        <f t="shared" si="17"/>
        <v>2.4061222020568565</v>
      </c>
      <c r="Q46" s="7">
        <f t="shared" si="17"/>
        <v>1.4414519056261366</v>
      </c>
      <c r="R46" s="7">
        <f t="shared" si="17"/>
        <v>1.6583982202447078</v>
      </c>
      <c r="S46" s="7">
        <f t="shared" si="17"/>
        <v>7.00195773081202</v>
      </c>
      <c r="T46" s="7">
        <f t="shared" si="17"/>
        <v>3.214078526012903</v>
      </c>
      <c r="U46" s="7">
        <f t="shared" si="17"/>
        <v>7.597809439829219</v>
      </c>
      <c r="V46" s="22">
        <f>AVERAGE(P46:U46)</f>
        <v>3.886636337430307</v>
      </c>
      <c r="W46" s="23">
        <f>STDEV(P46:U46)/SQRT(6)</f>
        <v>1.111549388724082</v>
      </c>
      <c r="X46" s="11"/>
      <c r="Y46" s="11"/>
    </row>
    <row r="47" spans="1:25" ht="15">
      <c r="A47" s="52" t="s">
        <v>205</v>
      </c>
      <c r="C47" s="66">
        <f aca="true" t="shared" si="18" ref="C47:H47">C33*100/C41</f>
        <v>15.248005565313901</v>
      </c>
      <c r="D47" s="66">
        <f t="shared" si="18"/>
        <v>4.376282799652704</v>
      </c>
      <c r="E47" s="66">
        <f t="shared" si="18"/>
        <v>12.021741947507172</v>
      </c>
      <c r="F47" s="66">
        <f t="shared" si="18"/>
        <v>20.563949239449055</v>
      </c>
      <c r="G47" s="66">
        <f t="shared" si="18"/>
        <v>0.3422205206694555</v>
      </c>
      <c r="H47" s="66">
        <f t="shared" si="18"/>
        <v>13.665708452544083</v>
      </c>
      <c r="I47" s="65">
        <f>AVERAGE(C47:H47)</f>
        <v>11.036318087522728</v>
      </c>
      <c r="J47" s="66">
        <f>STDEV(C47:H47)/SQRT(6)</f>
        <v>3.0283032293034164</v>
      </c>
      <c r="K47" s="66"/>
      <c r="L47" s="66"/>
      <c r="N47" s="52" t="s">
        <v>205</v>
      </c>
      <c r="P47" s="66">
        <f aca="true" t="shared" si="19" ref="P47:U47">P33*100/P41</f>
        <v>6.280772718703774</v>
      </c>
      <c r="Q47" s="66">
        <f t="shared" si="19"/>
        <v>1.5128523720280642</v>
      </c>
      <c r="R47" s="66">
        <f t="shared" si="19"/>
        <v>-5.2536295885708215</v>
      </c>
      <c r="S47" s="66">
        <f t="shared" si="19"/>
        <v>-2.3574829171091096</v>
      </c>
      <c r="T47" s="66">
        <f t="shared" si="19"/>
        <v>1.3160255869851412</v>
      </c>
      <c r="U47" s="66">
        <f t="shared" si="19"/>
        <v>4.937333691080942</v>
      </c>
      <c r="V47" s="65">
        <f>AVERAGE(P47:U47)</f>
        <v>1.072645310519665</v>
      </c>
      <c r="W47" s="66">
        <f>STDEV(P47:U47)/SQRT(6)</f>
        <v>1.7710727196771285</v>
      </c>
      <c r="X47" s="12"/>
      <c r="Y47" s="12"/>
    </row>
    <row r="48" spans="3:25" ht="15">
      <c r="C48" s="7"/>
      <c r="D48" s="7"/>
      <c r="E48" s="7"/>
      <c r="F48" s="7"/>
      <c r="G48" s="7"/>
      <c r="H48" s="7"/>
      <c r="I48" s="14"/>
      <c r="J48" s="7"/>
      <c r="K48" s="7"/>
      <c r="L48" s="7"/>
      <c r="P48" s="7"/>
      <c r="Q48" s="7"/>
      <c r="R48" s="7"/>
      <c r="S48" s="7"/>
      <c r="T48" s="7"/>
      <c r="U48" s="7"/>
      <c r="V48" s="14"/>
      <c r="W48" s="7"/>
      <c r="X48" s="12"/>
      <c r="Y48" s="12"/>
    </row>
    <row r="49" spans="1:25" ht="15">
      <c r="A49" s="1" t="s">
        <v>115</v>
      </c>
      <c r="C49" s="7"/>
      <c r="D49" s="7"/>
      <c r="E49" s="7"/>
      <c r="F49" s="7"/>
      <c r="G49" s="7"/>
      <c r="H49" s="7"/>
      <c r="I49" s="14"/>
      <c r="J49" s="7"/>
      <c r="K49" s="7"/>
      <c r="L49" s="7"/>
      <c r="N49" s="1" t="s">
        <v>115</v>
      </c>
      <c r="P49" s="7"/>
      <c r="Q49" s="7"/>
      <c r="R49" s="7"/>
      <c r="S49" s="7"/>
      <c r="T49" s="7"/>
      <c r="U49" s="7"/>
      <c r="V49" s="14"/>
      <c r="W49" s="7"/>
      <c r="X49" s="12"/>
      <c r="Y49" s="12"/>
    </row>
    <row r="50" spans="3:25" ht="15">
      <c r="C50" s="7"/>
      <c r="D50" s="7"/>
      <c r="E50" s="7"/>
      <c r="F50" s="7"/>
      <c r="G50" s="7"/>
      <c r="H50" s="7"/>
      <c r="I50" s="14"/>
      <c r="J50" s="7"/>
      <c r="K50" s="7"/>
      <c r="L50" s="7"/>
      <c r="P50" s="7"/>
      <c r="Q50" s="7"/>
      <c r="R50" s="7"/>
      <c r="S50" s="7"/>
      <c r="T50" s="7"/>
      <c r="U50" s="7"/>
      <c r="V50" s="14"/>
      <c r="W50" s="7"/>
      <c r="X50" s="12"/>
      <c r="Y50" s="12"/>
    </row>
    <row r="51" spans="1:25" ht="15">
      <c r="A51" t="s">
        <v>116</v>
      </c>
      <c r="C51" s="9">
        <f aca="true" t="shared" si="20" ref="C51:H51">C4-C4*C6</f>
        <v>338.041</v>
      </c>
      <c r="D51" s="9">
        <f t="shared" si="20"/>
        <v>308.495</v>
      </c>
      <c r="E51" s="9">
        <f t="shared" si="20"/>
        <v>305.019</v>
      </c>
      <c r="F51" s="9">
        <f t="shared" si="20"/>
        <v>291.984</v>
      </c>
      <c r="G51" s="9">
        <f t="shared" si="20"/>
        <v>311.102</v>
      </c>
      <c r="H51" s="9">
        <f t="shared" si="20"/>
        <v>290.246</v>
      </c>
      <c r="I51" s="19">
        <f>AVERAGE(C51:H51)</f>
        <v>307.4811666666667</v>
      </c>
      <c r="J51" s="9">
        <f>STDEV(C51:H51)/SQRT(6)</f>
        <v>7.050572352259253</v>
      </c>
      <c r="K51" s="9"/>
      <c r="L51" s="9"/>
      <c r="N51" t="s">
        <v>116</v>
      </c>
      <c r="P51" s="9">
        <f aca="true" t="shared" si="21" ref="P51:U51">P4-P4*P6</f>
        <v>198.7293</v>
      </c>
      <c r="Q51" s="9">
        <f t="shared" si="21"/>
        <v>196.1484</v>
      </c>
      <c r="R51" s="9">
        <f t="shared" si="21"/>
        <v>203.8911</v>
      </c>
      <c r="S51" s="9">
        <f t="shared" si="21"/>
        <v>212.4941</v>
      </c>
      <c r="T51" s="17">
        <f t="shared" si="21"/>
        <v>194.4278</v>
      </c>
      <c r="U51" s="9">
        <f t="shared" si="21"/>
        <v>197.869</v>
      </c>
      <c r="V51" s="19">
        <f>AVERAGE(P51:U51)</f>
        <v>200.59328333333335</v>
      </c>
      <c r="W51" s="9">
        <f>STDEV(P51:U51)/SQRT(6)</f>
        <v>2.7152124424455937</v>
      </c>
      <c r="X51" s="12"/>
      <c r="Y51" s="12"/>
    </row>
    <row r="52" spans="1:25" ht="15">
      <c r="A52" t="s">
        <v>117</v>
      </c>
      <c r="C52" s="9">
        <f aca="true" t="shared" si="22" ref="C52:H52">C16-C16*C18</f>
        <v>390.048</v>
      </c>
      <c r="D52" s="9">
        <f t="shared" si="22"/>
        <v>359.552</v>
      </c>
      <c r="E52" s="9">
        <f t="shared" si="22"/>
        <v>370.2414</v>
      </c>
      <c r="F52" s="9">
        <f t="shared" si="22"/>
        <v>336.16</v>
      </c>
      <c r="G52" s="9">
        <f t="shared" si="22"/>
        <v>396.273</v>
      </c>
      <c r="H52" s="9">
        <f t="shared" si="22"/>
        <v>350.8825</v>
      </c>
      <c r="I52" s="19">
        <f>AVERAGE(C52:H52)</f>
        <v>367.1928166666667</v>
      </c>
      <c r="J52" s="9">
        <f>STDEV(C52:H52)/SQRT(6)</f>
        <v>9.424709628786246</v>
      </c>
      <c r="K52" s="9"/>
      <c r="L52" s="9"/>
      <c r="N52" t="s">
        <v>117</v>
      </c>
      <c r="P52" s="9">
        <f aca="true" t="shared" si="23" ref="P52:U52">P16-P16*P18</f>
        <v>218.6845</v>
      </c>
      <c r="Q52" s="9">
        <f t="shared" si="23"/>
        <v>221.184</v>
      </c>
      <c r="R52" s="9">
        <f t="shared" si="23"/>
        <v>221.7255</v>
      </c>
      <c r="S52" s="9">
        <f t="shared" si="23"/>
        <v>236.2154</v>
      </c>
      <c r="T52" s="17">
        <f t="shared" si="23"/>
        <v>222.23250000000002</v>
      </c>
      <c r="U52" s="9">
        <f t="shared" si="23"/>
        <v>218.868</v>
      </c>
      <c r="V52" s="19">
        <f>AVERAGE(P52:U52)</f>
        <v>223.15165000000002</v>
      </c>
      <c r="W52" s="9">
        <f>STDEV(P52:U52)/SQRT(6)</f>
        <v>2.681523432522206</v>
      </c>
      <c r="X52" s="12"/>
      <c r="Y52" s="12"/>
    </row>
    <row r="53" spans="3:25" ht="15">
      <c r="C53" s="7"/>
      <c r="D53" s="7"/>
      <c r="E53" s="7"/>
      <c r="F53" s="7"/>
      <c r="G53" s="7"/>
      <c r="H53" s="7"/>
      <c r="I53" s="14"/>
      <c r="J53" s="7"/>
      <c r="K53" s="7"/>
      <c r="L53" s="7"/>
      <c r="P53" s="7"/>
      <c r="Q53" s="7"/>
      <c r="R53" s="7"/>
      <c r="S53" s="7"/>
      <c r="T53" s="16"/>
      <c r="U53" s="7"/>
      <c r="V53" s="14"/>
      <c r="W53" s="7"/>
      <c r="X53" s="12"/>
      <c r="Y53" s="12"/>
    </row>
    <row r="54" spans="1:25" ht="15">
      <c r="A54" t="s">
        <v>118</v>
      </c>
      <c r="C54" s="7">
        <f aca="true" t="shared" si="24" ref="C54:H54">C52-C51</f>
        <v>52.007000000000005</v>
      </c>
      <c r="D54" s="7">
        <f t="shared" si="24"/>
        <v>51.057000000000016</v>
      </c>
      <c r="E54" s="7">
        <f t="shared" si="24"/>
        <v>65.2224</v>
      </c>
      <c r="F54" s="7">
        <f t="shared" si="24"/>
        <v>44.176000000000045</v>
      </c>
      <c r="G54" s="7">
        <f t="shared" si="24"/>
        <v>85.17100000000005</v>
      </c>
      <c r="H54" s="7">
        <f t="shared" si="24"/>
        <v>60.63650000000001</v>
      </c>
      <c r="I54" s="14">
        <f>AVERAGE(C54:H54)</f>
        <v>59.71165000000002</v>
      </c>
      <c r="J54" s="7">
        <f>STDEV(C54:H54)/SQRT(6)</f>
        <v>5.930214258847095</v>
      </c>
      <c r="K54" s="7"/>
      <c r="L54" s="7"/>
      <c r="N54" t="s">
        <v>118</v>
      </c>
      <c r="P54" s="7">
        <f aca="true" t="shared" si="25" ref="P54:U54">P52-P51</f>
        <v>19.95520000000002</v>
      </c>
      <c r="Q54" s="7">
        <f t="shared" si="25"/>
        <v>25.035599999999988</v>
      </c>
      <c r="R54" s="7">
        <f t="shared" si="25"/>
        <v>17.834400000000016</v>
      </c>
      <c r="S54" s="7">
        <f t="shared" si="25"/>
        <v>23.721299999999985</v>
      </c>
      <c r="T54" s="16">
        <f t="shared" si="25"/>
        <v>27.804700000000025</v>
      </c>
      <c r="U54" s="7">
        <f t="shared" si="25"/>
        <v>20.998999999999995</v>
      </c>
      <c r="V54" s="14">
        <f>AVERAGE(P54:U54)</f>
        <v>22.55836666666667</v>
      </c>
      <c r="W54" s="7">
        <f>STDEV(P54:U54)/SQRT(6)</f>
        <v>1.4892623961023286</v>
      </c>
      <c r="X54" s="12"/>
      <c r="Y54" s="12"/>
    </row>
    <row r="55" spans="3:25" ht="15">
      <c r="C55" s="7"/>
      <c r="D55" s="7"/>
      <c r="E55" s="7"/>
      <c r="F55" s="7"/>
      <c r="G55" s="7"/>
      <c r="H55" s="7"/>
      <c r="I55" s="14"/>
      <c r="J55" s="7"/>
      <c r="K55" s="7"/>
      <c r="L55" s="7"/>
      <c r="P55" s="7"/>
      <c r="Q55" s="7"/>
      <c r="R55" s="7"/>
      <c r="S55" s="7"/>
      <c r="T55" s="16"/>
      <c r="U55" s="7"/>
      <c r="V55" s="14"/>
      <c r="W55" s="7"/>
      <c r="X55" s="12"/>
      <c r="Y55" s="12"/>
    </row>
    <row r="56" spans="1:25" ht="15">
      <c r="A56" s="92" t="s">
        <v>119</v>
      </c>
      <c r="B56" s="92"/>
      <c r="C56" s="7">
        <f aca="true" t="shared" si="26" ref="C56:H56">C40/C54</f>
        <v>1.3682943133220753</v>
      </c>
      <c r="D56" s="7">
        <f t="shared" si="26"/>
        <v>1.3937536939683324</v>
      </c>
      <c r="E56" s="7">
        <f t="shared" si="26"/>
        <v>1.0382169316063194</v>
      </c>
      <c r="F56" s="7">
        <f t="shared" si="26"/>
        <v>1.532845889170589</v>
      </c>
      <c r="G56" s="7">
        <f t="shared" si="26"/>
        <v>0.9038045951846351</v>
      </c>
      <c r="H56" s="7">
        <f t="shared" si="26"/>
        <v>1.2694984238283968</v>
      </c>
      <c r="I56" s="14">
        <f>AVERAGE(C56:H56)</f>
        <v>1.2510689745133912</v>
      </c>
      <c r="J56" s="7">
        <f>STDEV(C56:H56)/SQRT(6)</f>
        <v>0.09656381737497605</v>
      </c>
      <c r="K56" s="7"/>
      <c r="L56" s="7"/>
      <c r="N56" s="92" t="s">
        <v>119</v>
      </c>
      <c r="O56" s="92"/>
      <c r="P56" s="7">
        <f aca="true" t="shared" si="27" ref="P56:U56">P40/P54</f>
        <v>2.4363397539901115</v>
      </c>
      <c r="Q56" s="7">
        <f t="shared" si="27"/>
        <v>1.94194055899693</v>
      </c>
      <c r="R56" s="7">
        <f t="shared" si="27"/>
        <v>2.9651882284336124</v>
      </c>
      <c r="S56" s="7">
        <f t="shared" si="27"/>
        <v>2.229319343424538</v>
      </c>
      <c r="T56" s="16">
        <f t="shared" si="27"/>
        <v>1.8233904170666009</v>
      </c>
      <c r="U56" s="7">
        <f t="shared" si="27"/>
        <v>2.414344660670116</v>
      </c>
      <c r="V56" s="14">
        <f>AVERAGE(P56:U56)</f>
        <v>2.301753827096985</v>
      </c>
      <c r="W56" s="7">
        <f>STDEV(P56:U56)/SQRT(6)</f>
        <v>0.16678121065045087</v>
      </c>
      <c r="X56" s="12"/>
      <c r="Y56" s="12"/>
    </row>
    <row r="57" spans="3:23" ht="15">
      <c r="C57" s="9"/>
      <c r="D57" s="9"/>
      <c r="E57" s="9"/>
      <c r="F57" s="9"/>
      <c r="G57" s="9"/>
      <c r="H57" s="9"/>
      <c r="I57" s="1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9"/>
      <c r="W57" s="9"/>
    </row>
    <row r="58" spans="1:23" ht="15">
      <c r="A58" t="s">
        <v>120</v>
      </c>
      <c r="C58" s="9">
        <f aca="true" t="shared" si="28" ref="C58:H58">C54*100/(C16-C4)</f>
        <v>58.43483146067417</v>
      </c>
      <c r="D58" s="9">
        <f t="shared" si="28"/>
        <v>73.99565217391307</v>
      </c>
      <c r="E58" s="9">
        <f t="shared" si="28"/>
        <v>74.96827586206896</v>
      </c>
      <c r="F58" s="9">
        <f t="shared" si="28"/>
        <v>69.02500000000006</v>
      </c>
      <c r="G58" s="9">
        <f t="shared" si="28"/>
        <v>79.5990654205608</v>
      </c>
      <c r="H58" s="9">
        <f t="shared" si="28"/>
        <v>74.8598765432099</v>
      </c>
      <c r="I58" s="19">
        <f>AVERAGE(C58:H58)</f>
        <v>71.81378357673783</v>
      </c>
      <c r="J58" s="9">
        <f>STDEV(C58:H58)/SQRT(6)</f>
        <v>3.0076255388789477</v>
      </c>
      <c r="K58" s="9"/>
      <c r="L58" s="9"/>
      <c r="M58" s="9"/>
      <c r="N58" s="9" t="s">
        <v>120</v>
      </c>
      <c r="O58" s="9"/>
      <c r="P58" s="9">
        <f aca="true" t="shared" si="29" ref="P58:U58">P54*100/(P16-P4)</f>
        <v>62.360000000000056</v>
      </c>
      <c r="Q58" s="9">
        <f t="shared" si="29"/>
        <v>89.41285714285709</v>
      </c>
      <c r="R58" s="9">
        <f t="shared" si="29"/>
        <v>63.694285714285776</v>
      </c>
      <c r="S58" s="9">
        <f t="shared" si="29"/>
        <v>87.8566666666666</v>
      </c>
      <c r="T58" s="9">
        <f t="shared" si="29"/>
        <v>95.87827586206905</v>
      </c>
      <c r="U58" s="9">
        <f t="shared" si="29"/>
        <v>69.99666666666666</v>
      </c>
      <c r="V58" s="19">
        <f>AVERAGE(P58:U58)</f>
        <v>78.19979200875754</v>
      </c>
      <c r="W58" s="9">
        <f>STDEV(P58:U58)/SQRT(6)</f>
        <v>5.944512422757717</v>
      </c>
    </row>
    <row r="59" spans="9:23" ht="15">
      <c r="I59" s="19"/>
      <c r="J59" s="9"/>
      <c r="K59" s="9"/>
      <c r="L59" s="9"/>
      <c r="V59" s="19"/>
      <c r="W59" s="9"/>
    </row>
    <row r="60" spans="1:23" ht="15">
      <c r="A60" s="47" t="s">
        <v>214</v>
      </c>
      <c r="I60" s="19"/>
      <c r="J60" s="9"/>
      <c r="K60" s="9"/>
      <c r="L60" s="9"/>
      <c r="N60" s="47" t="s">
        <v>214</v>
      </c>
      <c r="V60" s="19"/>
      <c r="W60" s="9"/>
    </row>
    <row r="61" spans="1:23" ht="15">
      <c r="A61" t="s">
        <v>206</v>
      </c>
      <c r="C61">
        <v>8343</v>
      </c>
      <c r="D61">
        <v>8343</v>
      </c>
      <c r="E61">
        <v>7939</v>
      </c>
      <c r="F61">
        <v>7939</v>
      </c>
      <c r="G61">
        <v>9025</v>
      </c>
      <c r="H61">
        <v>9025</v>
      </c>
      <c r="I61" s="19">
        <f>AVERAGE(C61:H61)</f>
        <v>8435.666666666666</v>
      </c>
      <c r="J61" s="9">
        <f>STDEV(C61:H61)/SQRT(6)</f>
        <v>200.4293169950705</v>
      </c>
      <c r="K61" s="9"/>
      <c r="L61" s="9"/>
      <c r="N61" s="70" t="s">
        <v>206</v>
      </c>
      <c r="P61">
        <v>5700</v>
      </c>
      <c r="Q61">
        <v>5700</v>
      </c>
      <c r="R61">
        <v>6200</v>
      </c>
      <c r="S61">
        <v>6200</v>
      </c>
      <c r="T61">
        <v>5944</v>
      </c>
      <c r="U61">
        <v>5944</v>
      </c>
      <c r="V61" s="19">
        <f>AVERAGE(P61:U61)</f>
        <v>5948</v>
      </c>
      <c r="W61" s="9">
        <f>STDEV(P61:U61)/SQRT(6)</f>
        <v>91.29585605783723</v>
      </c>
    </row>
    <row r="62" spans="1:23" ht="15">
      <c r="A62" t="s">
        <v>207</v>
      </c>
      <c r="C62" s="79">
        <v>1272.1411043141388</v>
      </c>
      <c r="D62" s="79">
        <v>365.1132739750251</v>
      </c>
      <c r="E62" s="79">
        <v>954.4060932125944</v>
      </c>
      <c r="F62" s="79">
        <v>1632.5719301198606</v>
      </c>
      <c r="G62" s="79">
        <v>30.88540199041836</v>
      </c>
      <c r="H62" s="9">
        <v>1233.3301878421034</v>
      </c>
      <c r="I62" s="19">
        <f>AVERAGE(C62:H62)</f>
        <v>914.7413319090234</v>
      </c>
      <c r="J62" s="9">
        <f>STDEV(C62:H62)/SQRT(6)</f>
        <v>246.93992686329986</v>
      </c>
      <c r="K62" s="88">
        <f>AVERAGE(C62:E62,H62)</f>
        <v>956.2476648359655</v>
      </c>
      <c r="L62" s="89">
        <f>STDEV(C62:E62,H62)/SQRT(4)</f>
        <v>209.36543990221503</v>
      </c>
      <c r="N62" s="70" t="s">
        <v>207</v>
      </c>
      <c r="P62" s="9">
        <v>358.0040449661151</v>
      </c>
      <c r="Q62" s="9">
        <v>86.23258520559966</v>
      </c>
      <c r="R62" s="9">
        <v>-325.72503449139094</v>
      </c>
      <c r="S62" s="9">
        <v>-146.1639408607648</v>
      </c>
      <c r="T62" s="9">
        <v>78.22456089039679</v>
      </c>
      <c r="U62" s="9">
        <v>293.4751145978512</v>
      </c>
      <c r="V62" s="19">
        <f>AVERAGE(P62:U62)</f>
        <v>57.341221717967834</v>
      </c>
      <c r="W62" s="9">
        <f>STDEV(P62:U62)/SQRT(6)</f>
        <v>105.76424746131852</v>
      </c>
    </row>
    <row r="63" spans="1:23" ht="15">
      <c r="A63" t="s">
        <v>208</v>
      </c>
      <c r="C63" s="79">
        <f aca="true" t="shared" si="30" ref="C63:H63">C61-C62</f>
        <v>7070.858895685861</v>
      </c>
      <c r="D63" s="79">
        <f t="shared" si="30"/>
        <v>7977.886726024975</v>
      </c>
      <c r="E63" s="79">
        <f t="shared" si="30"/>
        <v>6984.593906787406</v>
      </c>
      <c r="F63" s="79">
        <f t="shared" si="30"/>
        <v>6306.428069880139</v>
      </c>
      <c r="G63" s="79">
        <f t="shared" si="30"/>
        <v>8994.114598009583</v>
      </c>
      <c r="H63" s="9">
        <f t="shared" si="30"/>
        <v>7791.669812157897</v>
      </c>
      <c r="I63" s="19">
        <f>AVERAGE(C63:H63)</f>
        <v>7520.925334757644</v>
      </c>
      <c r="J63" s="9">
        <f>STDEV(C63:H63)/SQRT(6)</f>
        <v>383.73678900668216</v>
      </c>
      <c r="K63" s="88">
        <f>AVERAGE(C63:E63,H63)</f>
        <v>7456.252335164035</v>
      </c>
      <c r="L63" s="89">
        <f>STDEV(C63:E63,H63)/SQRT(4)</f>
        <v>250.9311156893632</v>
      </c>
      <c r="N63" s="70" t="s">
        <v>208</v>
      </c>
      <c r="P63" s="9">
        <f aca="true" t="shared" si="31" ref="P63:U63">P61-P62</f>
        <v>5341.9959550338845</v>
      </c>
      <c r="Q63" s="9">
        <f t="shared" si="31"/>
        <v>5613.7674147944</v>
      </c>
      <c r="R63" s="9">
        <f t="shared" si="31"/>
        <v>6525.725034491391</v>
      </c>
      <c r="S63" s="9">
        <f t="shared" si="31"/>
        <v>6346.163940860764</v>
      </c>
      <c r="T63" s="9">
        <f t="shared" si="31"/>
        <v>5865.775439109603</v>
      </c>
      <c r="U63" s="9">
        <f t="shared" si="31"/>
        <v>5650.524885402148</v>
      </c>
      <c r="V63" s="19">
        <f>AVERAGE(P63:U63)</f>
        <v>5890.658778282032</v>
      </c>
      <c r="W63" s="9">
        <f>STDEV(P63:U63)/SQRT(6)</f>
        <v>186.79554694712874</v>
      </c>
    </row>
    <row r="64" spans="1:25" ht="15">
      <c r="A64" s="87" t="s">
        <v>212</v>
      </c>
      <c r="B64" s="73"/>
      <c r="C64" s="79">
        <f aca="true" t="shared" si="32" ref="C64:H64">C63/30</f>
        <v>235.69529652286204</v>
      </c>
      <c r="D64" s="79">
        <f t="shared" si="32"/>
        <v>265.92955753416584</v>
      </c>
      <c r="E64" s="79">
        <f t="shared" si="32"/>
        <v>232.81979689291353</v>
      </c>
      <c r="F64" s="79">
        <f t="shared" si="32"/>
        <v>210.21426899600465</v>
      </c>
      <c r="G64" s="79">
        <f t="shared" si="32"/>
        <v>299.80381993365273</v>
      </c>
      <c r="H64" s="9">
        <f t="shared" si="32"/>
        <v>259.7223270719299</v>
      </c>
      <c r="I64" s="78">
        <f>AVERAGE(C64:H64)</f>
        <v>250.6975111585881</v>
      </c>
      <c r="J64" s="60">
        <f>STDEV(C64:H64)/SQRT(6)</f>
        <v>12.791226300222872</v>
      </c>
      <c r="K64" s="88">
        <f>AVERAGE(C64:E64,H64)</f>
        <v>248.54174450546782</v>
      </c>
      <c r="L64" s="89">
        <f>STDEV(C64:E64,H64)/SQRT(4)</f>
        <v>8.364370522978954</v>
      </c>
      <c r="N64" s="87" t="s">
        <v>212</v>
      </c>
      <c r="O64" s="73"/>
      <c r="P64" s="79">
        <f>P63/30</f>
        <v>178.0665318344628</v>
      </c>
      <c r="Q64" s="9">
        <f>Q63/30</f>
        <v>187.12558049314666</v>
      </c>
      <c r="R64" s="9">
        <f>R63/30</f>
        <v>217.5241678163797</v>
      </c>
      <c r="S64" s="9">
        <f>S63/30</f>
        <v>211.53879802869216</v>
      </c>
      <c r="T64" s="9">
        <f>T63/30</f>
        <v>195.52584797032011</v>
      </c>
      <c r="U64" s="9">
        <f>U63/30</f>
        <v>188.35082951340493</v>
      </c>
      <c r="V64" s="80">
        <f>AVERAGE(P64:U64)</f>
        <v>196.35529260940106</v>
      </c>
      <c r="W64" s="81">
        <f>STDEV(P64:U64)/SQRT(6)</f>
        <v>6.2265182315711955</v>
      </c>
      <c r="X64" s="78"/>
      <c r="Y64" s="60"/>
    </row>
    <row r="65" spans="1:25" ht="15">
      <c r="A65" s="73" t="s">
        <v>213</v>
      </c>
      <c r="B65" s="73"/>
      <c r="C65" s="79">
        <f aca="true" t="shared" si="33" ref="C65:H65">C63/1000</f>
        <v>7.070858895685861</v>
      </c>
      <c r="D65" s="79">
        <f t="shared" si="33"/>
        <v>7.977886726024975</v>
      </c>
      <c r="E65" s="79">
        <f t="shared" si="33"/>
        <v>6.984593906787406</v>
      </c>
      <c r="F65" s="79">
        <f t="shared" si="33"/>
        <v>6.306428069880139</v>
      </c>
      <c r="G65" s="79">
        <f t="shared" si="33"/>
        <v>8.994114598009583</v>
      </c>
      <c r="H65" s="9">
        <f t="shared" si="33"/>
        <v>7.791669812157896</v>
      </c>
      <c r="I65" s="19">
        <f>AVERAGE(C65:H65)</f>
        <v>7.520925334757643</v>
      </c>
      <c r="J65" s="9">
        <f>STDEV(C65:H65)/SQRT(6)</f>
        <v>0.3837367890066833</v>
      </c>
      <c r="K65" s="88">
        <f>AVERAGE(C65:E65,H65)</f>
        <v>7.456252335164034</v>
      </c>
      <c r="L65" s="89">
        <f>STDEV(C65:E65,H65)/SQRT(4)</f>
        <v>0.2509311156893669</v>
      </c>
      <c r="N65" s="73" t="s">
        <v>213</v>
      </c>
      <c r="O65" s="73"/>
      <c r="P65" s="79">
        <f aca="true" t="shared" si="34" ref="P65:U65">P63/1000</f>
        <v>5.341995955033885</v>
      </c>
      <c r="Q65" s="9">
        <f t="shared" si="34"/>
        <v>5.6137674147944</v>
      </c>
      <c r="R65" s="9">
        <f t="shared" si="34"/>
        <v>6.525725034491391</v>
      </c>
      <c r="S65" s="9">
        <f t="shared" si="34"/>
        <v>6.346163940860764</v>
      </c>
      <c r="T65" s="9">
        <f t="shared" si="34"/>
        <v>5.865775439109603</v>
      </c>
      <c r="U65" s="9">
        <f t="shared" si="34"/>
        <v>5.650524885402148</v>
      </c>
      <c r="V65" s="80">
        <f>AVERAGE(P65:U65)</f>
        <v>5.890658778282032</v>
      </c>
      <c r="W65" s="81">
        <f>STDEV(P65:U65)/SQRT(6)</f>
        <v>0.1867955469471274</v>
      </c>
      <c r="X65" s="78"/>
      <c r="Y65" s="60"/>
    </row>
    <row r="66" spans="3:25" s="73" customFormat="1" ht="15">
      <c r="C66" s="79"/>
      <c r="D66" s="9"/>
      <c r="E66" s="9"/>
      <c r="F66" s="9"/>
      <c r="G66" s="9"/>
      <c r="H66" s="9"/>
      <c r="I66" s="75"/>
      <c r="J66" s="9"/>
      <c r="K66" s="82"/>
      <c r="L66" s="60"/>
      <c r="P66" s="79"/>
      <c r="Q66" s="9"/>
      <c r="R66" s="9"/>
      <c r="S66" s="9"/>
      <c r="T66" s="9"/>
      <c r="U66" s="9"/>
      <c r="V66" s="80"/>
      <c r="W66" s="81"/>
      <c r="X66" s="82"/>
      <c r="Y66" s="60"/>
    </row>
    <row r="67" spans="1:23" ht="15">
      <c r="A67" s="47" t="s">
        <v>215</v>
      </c>
      <c r="N67" s="47" t="s">
        <v>215</v>
      </c>
      <c r="V67" s="19"/>
      <c r="W67" s="9"/>
    </row>
    <row r="68" spans="1:23" ht="15">
      <c r="A68" t="s">
        <v>209</v>
      </c>
      <c r="C68" s="9">
        <f aca="true" t="shared" si="35" ref="C68:H68">(C63)/POWER((C16),0.75)</f>
        <v>69.16736772135346</v>
      </c>
      <c r="D68" s="9">
        <f t="shared" si="35"/>
        <v>85.38143963151818</v>
      </c>
      <c r="E68" s="9">
        <f t="shared" si="35"/>
        <v>72.95172706446321</v>
      </c>
      <c r="F68" s="76">
        <f t="shared" si="35"/>
        <v>70.50800929732392</v>
      </c>
      <c r="G68" s="76">
        <f t="shared" si="35"/>
        <v>89.81910063737713</v>
      </c>
      <c r="H68" s="9">
        <f t="shared" si="35"/>
        <v>84.74117228573316</v>
      </c>
      <c r="I68" s="19">
        <f>AVERAGE(C68:H68)</f>
        <v>78.76146943962819</v>
      </c>
      <c r="J68" s="9">
        <f>STDEV(C68:H68)/SQRT(6)</f>
        <v>3.6321323293700494</v>
      </c>
      <c r="K68" s="88">
        <f>AVERAGE(C68:E68,H68)</f>
        <v>78.060426675767</v>
      </c>
      <c r="L68" s="89">
        <f>STDEV(C68:E68,H68)/SQRT(4)</f>
        <v>4.117188582521747</v>
      </c>
      <c r="N68" s="71" t="s">
        <v>209</v>
      </c>
      <c r="O68" s="71"/>
      <c r="P68" s="9">
        <f aca="true" t="shared" si="36" ref="P68:U68">(P63)/POWER((P16),0.75)</f>
        <v>81.79688092132793</v>
      </c>
      <c r="Q68" s="9">
        <f t="shared" si="36"/>
        <v>87.71511585616253</v>
      </c>
      <c r="R68" s="9">
        <f t="shared" si="36"/>
        <v>99.35606092507328</v>
      </c>
      <c r="S68" s="9">
        <f t="shared" si="36"/>
        <v>94.23199049138148</v>
      </c>
      <c r="T68" s="9">
        <f t="shared" si="36"/>
        <v>91.92217619688667</v>
      </c>
      <c r="U68" s="9">
        <f t="shared" si="36"/>
        <v>87.26875514246007</v>
      </c>
      <c r="V68" s="19">
        <f>AVERAGE(P68:U68)</f>
        <v>90.38182992221532</v>
      </c>
      <c r="W68" s="9">
        <f>STDEV(P68:U68)/SQRT(6)</f>
        <v>2.5049096656313696</v>
      </c>
    </row>
    <row r="69" spans="1:23" ht="15">
      <c r="A69" s="73" t="s">
        <v>216</v>
      </c>
      <c r="B69" s="73"/>
      <c r="C69" s="9">
        <f aca="true" t="shared" si="37" ref="C69:H69">C68/30</f>
        <v>2.305578924045115</v>
      </c>
      <c r="D69" s="9">
        <f t="shared" si="37"/>
        <v>2.8460479877172724</v>
      </c>
      <c r="E69" s="9">
        <f t="shared" si="37"/>
        <v>2.431724235482107</v>
      </c>
      <c r="F69" s="76">
        <f t="shared" si="37"/>
        <v>2.350266976577464</v>
      </c>
      <c r="G69" s="76">
        <f t="shared" si="37"/>
        <v>2.9939700212459046</v>
      </c>
      <c r="H69" s="9">
        <f t="shared" si="37"/>
        <v>2.824705742857772</v>
      </c>
      <c r="I69" s="19">
        <f>AVERAGE(C69:H69)</f>
        <v>2.625382314654272</v>
      </c>
      <c r="J69" s="9">
        <f>STDEV(C69:H69)/SQRT(6)</f>
        <v>0.12107107764567027</v>
      </c>
      <c r="K69" s="88">
        <f>AVERAGE(C69:E69,H69)</f>
        <v>2.6020142225255665</v>
      </c>
      <c r="L69" s="89">
        <f>STDEV(C69:E69,H69)/SQRT(4)</f>
        <v>0.13723961941739302</v>
      </c>
      <c r="N69" s="73" t="s">
        <v>216</v>
      </c>
      <c r="O69" s="73"/>
      <c r="P69" s="9">
        <f aca="true" t="shared" si="38" ref="P69:U69">P68/30</f>
        <v>2.7265626973775974</v>
      </c>
      <c r="Q69" s="9">
        <f t="shared" si="38"/>
        <v>2.9238371952054174</v>
      </c>
      <c r="R69" s="9">
        <f t="shared" si="38"/>
        <v>3.3118686975024425</v>
      </c>
      <c r="S69" s="79">
        <f t="shared" si="38"/>
        <v>3.141066349712716</v>
      </c>
      <c r="T69" s="79">
        <f t="shared" si="38"/>
        <v>3.0640725398962223</v>
      </c>
      <c r="U69" s="9">
        <f t="shared" si="38"/>
        <v>2.908958504748669</v>
      </c>
      <c r="V69" s="19">
        <f>AVERAGE(P69:U69)</f>
        <v>3.0127276640738443</v>
      </c>
      <c r="W69" s="9">
        <f>STDEV(P69:U69)/SQRT(6)</f>
        <v>0.08349698885437407</v>
      </c>
    </row>
    <row r="70" spans="1:23" ht="15">
      <c r="A70" s="73" t="s">
        <v>218</v>
      </c>
      <c r="B70" s="73"/>
      <c r="C70" s="83">
        <f aca="true" t="shared" si="39" ref="C70:H70">C64/POWER((C4/1000),0.75)</f>
        <v>478.50746227424474</v>
      </c>
      <c r="D70" s="83">
        <f t="shared" si="39"/>
        <v>578.2229781002948</v>
      </c>
      <c r="E70" s="83">
        <f t="shared" si="39"/>
        <v>510.55151433295873</v>
      </c>
      <c r="F70" s="84">
        <f t="shared" si="39"/>
        <v>476.3297794669102</v>
      </c>
      <c r="G70" s="84">
        <f t="shared" si="39"/>
        <v>647.7760576849831</v>
      </c>
      <c r="H70" s="83">
        <f t="shared" si="39"/>
        <v>591.1523703512655</v>
      </c>
      <c r="I70" s="19">
        <f>AVERAGE(C70:H70)</f>
        <v>547.0900270351095</v>
      </c>
      <c r="J70" s="9">
        <f>STDEV(C70:H70)/SQRT(6)</f>
        <v>28.339649047545453</v>
      </c>
      <c r="K70" s="88">
        <f>AVERAGE(C70:E70,H70)</f>
        <v>539.6085812646909</v>
      </c>
      <c r="L70" s="89">
        <f>STDEV(C70:E70,H70)/SQRT(4)</f>
        <v>26.965245713910598</v>
      </c>
      <c r="N70" s="73" t="s">
        <v>218</v>
      </c>
      <c r="O70" s="73"/>
      <c r="P70" s="83">
        <f aca="true" t="shared" si="40" ref="P70:U70">P64/POWER((P4/1000),0.75)</f>
        <v>534.4084483587525</v>
      </c>
      <c r="Q70" s="83">
        <f t="shared" si="40"/>
        <v>567.129221943415</v>
      </c>
      <c r="R70" s="83">
        <f t="shared" si="40"/>
        <v>640.392528506783</v>
      </c>
      <c r="S70" s="83">
        <f t="shared" si="40"/>
        <v>603.7641434185961</v>
      </c>
      <c r="T70" s="83">
        <f t="shared" si="40"/>
        <v>596.5170324728405</v>
      </c>
      <c r="U70" s="83">
        <f t="shared" si="40"/>
        <v>567.1156866332593</v>
      </c>
      <c r="V70" s="78">
        <f>AVERAGE(P70:U70)</f>
        <v>584.8878435556078</v>
      </c>
      <c r="W70" s="60">
        <f>STDEV(P70:U70)/SQRT(6)</f>
        <v>15.00190024141037</v>
      </c>
    </row>
    <row r="71" spans="1:23" ht="15">
      <c r="A71" s="87" t="s">
        <v>217</v>
      </c>
      <c r="B71" s="73"/>
      <c r="C71" s="83">
        <f aca="true" t="shared" si="41" ref="C71:H71">C64/POWER((C16/1000),0.75)</f>
        <v>409.99635288491226</v>
      </c>
      <c r="D71" s="83">
        <f t="shared" si="41"/>
        <v>506.1068536540334</v>
      </c>
      <c r="E71" s="83">
        <f t="shared" si="41"/>
        <v>432.42851388504727</v>
      </c>
      <c r="F71" s="84">
        <f t="shared" si="41"/>
        <v>417.9431372542135</v>
      </c>
      <c r="G71" s="84">
        <f t="shared" si="41"/>
        <v>532.4115243055386</v>
      </c>
      <c r="H71" s="85">
        <f t="shared" si="41"/>
        <v>502.31160619426726</v>
      </c>
      <c r="I71" s="78">
        <f>AVERAGE(C71:H71)</f>
        <v>466.8663313630021</v>
      </c>
      <c r="J71" s="60">
        <f>STDEV(C71:H71)/SQRT(6)</f>
        <v>21.52982045285139</v>
      </c>
      <c r="K71" s="88">
        <f>AVERAGE(C71:E71,H71)</f>
        <v>462.710831654565</v>
      </c>
      <c r="L71" s="89">
        <f>STDEV(C71:E71,H71)/SQRT(4)</f>
        <v>24.405038945152583</v>
      </c>
      <c r="N71" s="87" t="s">
        <v>217</v>
      </c>
      <c r="O71" s="73"/>
      <c r="P71" s="83">
        <f aca="true" t="shared" si="42" ref="P71:U71">P64/POWER((P16/1000),0.75)</f>
        <v>484.8590304926769</v>
      </c>
      <c r="Q71" s="83">
        <f t="shared" si="42"/>
        <v>519.9399482539746</v>
      </c>
      <c r="R71" s="83">
        <f t="shared" si="42"/>
        <v>588.9427913521022</v>
      </c>
      <c r="S71" s="85">
        <f t="shared" si="42"/>
        <v>558.5693615260242</v>
      </c>
      <c r="T71" s="85">
        <f t="shared" si="42"/>
        <v>544.8777108563116</v>
      </c>
      <c r="U71" s="85">
        <f t="shared" si="42"/>
        <v>517.294101365217</v>
      </c>
      <c r="V71" s="78">
        <f>AVERAGE(P71:U71)</f>
        <v>535.7471573077178</v>
      </c>
      <c r="W71" s="60">
        <f>STDEV(P71:U71)/SQRT(6)</f>
        <v>14.848097607998238</v>
      </c>
    </row>
  </sheetData>
  <sheetProtection/>
  <mergeCells count="6">
    <mergeCell ref="A28:B28"/>
    <mergeCell ref="N28:O28"/>
    <mergeCell ref="A43:B43"/>
    <mergeCell ref="N43:O43"/>
    <mergeCell ref="A56:B56"/>
    <mergeCell ref="N56:O56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Tània</dc:creator>
  <cp:keywords/>
  <dc:description/>
  <cp:lastModifiedBy>No</cp:lastModifiedBy>
  <cp:lastPrinted>2014-12-29T17:37:50Z</cp:lastPrinted>
  <dcterms:created xsi:type="dcterms:W3CDTF">2013-10-03T19:51:32Z</dcterms:created>
  <dcterms:modified xsi:type="dcterms:W3CDTF">2017-02-06T18:04:32Z</dcterms:modified>
  <cp:category/>
  <cp:version/>
  <cp:contentType/>
  <cp:contentStatus/>
</cp:coreProperties>
</file>