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reserva\Fons\impresos\Guerra de successió\"/>
    </mc:Choice>
  </mc:AlternateContent>
  <bookViews>
    <workbookView xWindow="0" yWindow="0" windowWidth="19200" windowHeight="11460"/>
  </bookViews>
  <sheets>
    <sheet name="Full 1" sheetId="1" r:id="rId1"/>
  </sheets>
  <definedNames>
    <definedName name="_xlnm._FilterDatabase" localSheetId="0" hidden="1">'Full 1'!$A$2:$K$2</definedName>
    <definedName name="_xlnm.Print_Area" localSheetId="0">'Full 1'!$A$1:$K$233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2" i="1" l="1"/>
  <c r="E120" i="1"/>
  <c r="E244" i="1" l="1"/>
  <c r="E237" i="1"/>
  <c r="E236" i="1"/>
  <c r="E229" i="1"/>
  <c r="E224" i="1"/>
  <c r="E212" i="1"/>
  <c r="E209" i="1"/>
  <c r="E205" i="1"/>
  <c r="E204" i="1"/>
  <c r="E202" i="1"/>
  <c r="E201" i="1"/>
  <c r="E200" i="1"/>
  <c r="E198" i="1"/>
  <c r="E194" i="1"/>
  <c r="E192" i="1"/>
  <c r="E189" i="1"/>
  <c r="E188" i="1"/>
  <c r="E186" i="1"/>
  <c r="E185" i="1"/>
  <c r="E184" i="1"/>
  <c r="E183" i="1"/>
  <c r="E175" i="1"/>
  <c r="E170" i="1"/>
  <c r="E166" i="1"/>
  <c r="E165" i="1"/>
  <c r="E164" i="1"/>
  <c r="E163" i="1"/>
  <c r="E162" i="1"/>
  <c r="E161" i="1"/>
  <c r="E160" i="1"/>
  <c r="E146" i="1"/>
  <c r="E145" i="1"/>
  <c r="E144" i="1"/>
  <c r="E26" i="1"/>
  <c r="E24" i="1"/>
  <c r="E138" i="1" l="1"/>
  <c r="E81" i="1"/>
  <c r="E75" i="1"/>
  <c r="E23" i="1"/>
  <c r="E273" i="1" l="1"/>
  <c r="E272" i="1"/>
  <c r="E270" i="1"/>
  <c r="E269" i="1"/>
  <c r="E268" i="1"/>
  <c r="E267" i="1"/>
  <c r="E266" i="1"/>
  <c r="E265" i="1"/>
  <c r="E264" i="1"/>
  <c r="E263" i="1"/>
  <c r="E262" i="1"/>
  <c r="E261" i="1"/>
  <c r="E260" i="1"/>
  <c r="E259" i="1" l="1"/>
  <c r="E258" i="1"/>
  <c r="E257" i="1"/>
  <c r="E256" i="1"/>
  <c r="E255" i="1"/>
  <c r="E254" i="1"/>
  <c r="E253" i="1"/>
  <c r="E252" i="1"/>
  <c r="E251" i="1"/>
  <c r="E250" i="1"/>
  <c r="E249" i="1"/>
  <c r="E248" i="1"/>
  <c r="E247" i="1"/>
  <c r="E246" i="1"/>
  <c r="E245" i="1"/>
  <c r="E243" i="1"/>
  <c r="E242" i="1"/>
  <c r="E241" i="1"/>
  <c r="E239" i="1"/>
  <c r="E238" i="1"/>
  <c r="E240" i="1" l="1"/>
  <c r="E235" i="1"/>
  <c r="E234" i="1"/>
  <c r="E233" i="1"/>
  <c r="E232" i="1"/>
  <c r="E231" i="1"/>
  <c r="E230" i="1"/>
  <c r="E228" i="1"/>
  <c r="E227" i="1"/>
  <c r="E226" i="1"/>
  <c r="E225" i="1"/>
  <c r="E223" i="1"/>
  <c r="E222" i="1"/>
  <c r="E221" i="1"/>
  <c r="E220" i="1"/>
  <c r="E219" i="1"/>
  <c r="E218" i="1"/>
  <c r="E217" i="1"/>
  <c r="E216" i="1"/>
  <c r="E215" i="1"/>
  <c r="E214" i="1"/>
  <c r="E213" i="1"/>
  <c r="E211" i="1"/>
  <c r="E210" i="1"/>
  <c r="E208" i="1"/>
  <c r="E207" i="1"/>
  <c r="E206" i="1"/>
  <c r="E203" i="1"/>
  <c r="E199" i="1"/>
  <c r="E197" i="1"/>
  <c r="E196" i="1"/>
  <c r="E195" i="1"/>
  <c r="E193" i="1"/>
  <c r="E191" i="1"/>
  <c r="E190" i="1"/>
  <c r="E187" i="1"/>
  <c r="E182" i="1" l="1"/>
  <c r="E181" i="1"/>
  <c r="E180" i="1"/>
  <c r="E179" i="1"/>
  <c r="E178" i="1" l="1"/>
  <c r="E177" i="1"/>
  <c r="E176" i="1"/>
  <c r="E174" i="1"/>
  <c r="E173" i="1"/>
  <c r="E172" i="1"/>
  <c r="E171" i="1"/>
  <c r="E169" i="1" l="1"/>
  <c r="E168" i="1"/>
  <c r="E167" i="1"/>
  <c r="E159" i="1" l="1"/>
  <c r="E158" i="1"/>
  <c r="E157" i="1"/>
  <c r="E156" i="1"/>
  <c r="E155" i="1"/>
  <c r="E154" i="1"/>
  <c r="E153" i="1"/>
  <c r="E152" i="1"/>
  <c r="E151" i="1"/>
  <c r="E150" i="1" l="1"/>
  <c r="E149" i="1" l="1"/>
  <c r="E148" i="1"/>
  <c r="E147" i="1"/>
  <c r="E143" i="1"/>
  <c r="E142" i="1"/>
  <c r="E141" i="1"/>
  <c r="E140" i="1"/>
  <c r="E139" i="1"/>
  <c r="E137" i="1"/>
  <c r="E136" i="1"/>
  <c r="E135" i="1"/>
  <c r="E134" i="1"/>
  <c r="E133" i="1"/>
  <c r="E132" i="1"/>
  <c r="E131" i="1"/>
  <c r="E130" i="1"/>
  <c r="E129" i="1"/>
  <c r="E128" i="1"/>
  <c r="E127" i="1"/>
  <c r="E126" i="1"/>
  <c r="E125" i="1"/>
  <c r="E124" i="1"/>
  <c r="E123" i="1"/>
  <c r="E121" i="1" l="1"/>
  <c r="E119" i="1"/>
  <c r="E118" i="1"/>
  <c r="E117" i="1"/>
  <c r="E116" i="1"/>
  <c r="E115" i="1"/>
  <c r="E114" i="1"/>
  <c r="E113" i="1"/>
  <c r="E112" i="1"/>
  <c r="E111" i="1"/>
  <c r="E110" i="1"/>
  <c r="E109" i="1"/>
  <c r="E108" i="1"/>
  <c r="E107" i="1"/>
  <c r="E106" i="1"/>
  <c r="E105" i="1"/>
  <c r="E104" i="1"/>
  <c r="E103" i="1"/>
  <c r="E102" i="1"/>
  <c r="E101" i="1"/>
  <c r="E100" i="1"/>
  <c r="E99" i="1" l="1"/>
  <c r="E98" i="1"/>
  <c r="E97" i="1"/>
  <c r="E96" i="1"/>
  <c r="E95" i="1"/>
  <c r="E94" i="1"/>
  <c r="E93" i="1"/>
  <c r="E92" i="1"/>
  <c r="E91" i="1"/>
  <c r="E90" i="1"/>
  <c r="E89" i="1" l="1"/>
  <c r="E88" i="1"/>
  <c r="E87" i="1"/>
  <c r="E86" i="1"/>
  <c r="E85" i="1"/>
  <c r="E84" i="1"/>
  <c r="E83" i="1"/>
  <c r="E82" i="1"/>
  <c r="E80" i="1"/>
  <c r="E79" i="1"/>
  <c r="E78" i="1"/>
  <c r="E77" i="1"/>
  <c r="E76" i="1"/>
  <c r="E74" i="1" l="1"/>
  <c r="E73" i="1"/>
  <c r="E72" i="1"/>
  <c r="E71" i="1"/>
  <c r="E70" i="1"/>
  <c r="E69" i="1"/>
  <c r="E68" i="1"/>
  <c r="E67" i="1"/>
  <c r="E66" i="1"/>
  <c r="E65" i="1"/>
  <c r="E64" i="1"/>
  <c r="E63" i="1" l="1"/>
  <c r="E62" i="1"/>
  <c r="E61" i="1"/>
  <c r="E60" i="1"/>
  <c r="E59" i="1"/>
  <c r="E58" i="1"/>
  <c r="E57" i="1"/>
  <c r="E56" i="1"/>
  <c r="E55" i="1"/>
  <c r="E54" i="1"/>
  <c r="E53" i="1"/>
  <c r="E52" i="1"/>
  <c r="E51" i="1" l="1"/>
  <c r="E50" i="1"/>
  <c r="E49" i="1"/>
  <c r="E48" i="1"/>
  <c r="E47" i="1"/>
  <c r="E46" i="1"/>
  <c r="E45" i="1"/>
  <c r="E44" i="1"/>
  <c r="E43" i="1"/>
  <c r="E42" i="1"/>
  <c r="E41" i="1"/>
  <c r="E40" i="1"/>
  <c r="E39" i="1"/>
  <c r="E38" i="1"/>
  <c r="E37" i="1"/>
  <c r="E36" i="1"/>
  <c r="E35" i="1"/>
  <c r="E34" i="1"/>
  <c r="E33" i="1"/>
  <c r="E32" i="1"/>
  <c r="E31" i="1" l="1"/>
  <c r="E30" i="1"/>
  <c r="E29" i="1"/>
  <c r="E28" i="1"/>
  <c r="E27" i="1"/>
  <c r="E25" i="1"/>
  <c r="E22" i="1"/>
  <c r="E21" i="1"/>
  <c r="E20" i="1" l="1"/>
  <c r="E15" i="1" l="1"/>
  <c r="E19" i="1" l="1"/>
  <c r="E18" i="1"/>
  <c r="E17" i="1" l="1"/>
  <c r="E16" i="1"/>
  <c r="E14" i="1"/>
  <c r="E13" i="1" l="1"/>
  <c r="E12" i="1"/>
  <c r="E11" i="1"/>
  <c r="E10" i="1"/>
  <c r="E9" i="1" l="1"/>
  <c r="E8" i="1" l="1"/>
  <c r="E7" i="1"/>
  <c r="E6" i="1" l="1"/>
  <c r="E5" i="1" l="1"/>
  <c r="E4" i="1" l="1"/>
  <c r="E3" i="1" l="1"/>
</calcChain>
</file>

<file path=xl/sharedStrings.xml><?xml version="1.0" encoding="utf-8"?>
<sst xmlns="http://schemas.openxmlformats.org/spreadsheetml/2006/main" count="1572" uniqueCount="513">
  <si>
    <t>La Guerra de Successió (1702-1714) al CRAI Biblioteca de Reserva de la UB</t>
  </si>
  <si>
    <t>Autor</t>
  </si>
  <si>
    <t xml:space="preserve"> Titol</t>
  </si>
  <si>
    <t>Any</t>
  </si>
  <si>
    <t>Lloc</t>
  </si>
  <si>
    <t>Topogràfic</t>
  </si>
  <si>
    <t>Tipus Document</t>
  </si>
  <si>
    <t>Tipus material</t>
  </si>
  <si>
    <t>Matèria</t>
  </si>
  <si>
    <t>Tractatus Juris</t>
  </si>
  <si>
    <t>Catalunya</t>
  </si>
  <si>
    <t>Poesia</t>
  </si>
  <si>
    <t>Manuscrit</t>
  </si>
  <si>
    <t>Setges</t>
  </si>
  <si>
    <t/>
  </si>
  <si>
    <t>(veure poema als ff. de guarda)</t>
  </si>
  <si>
    <t>Plànol del setge de Barcelona de 1697</t>
  </si>
  <si>
    <t>París</t>
  </si>
  <si>
    <t>Gravats</t>
  </si>
  <si>
    <t>Document gràfic</t>
  </si>
  <si>
    <t>Catalunya. Diputació del General</t>
  </si>
  <si>
    <t>Escvdo de la verdad : en qve assegvran el mvy ilvstre y fidelissimo consistorio de la Dipvtación a todo el Principado, la excelentissima ciudad de Barcelona a todos svs natvrales y gremios, el muy ilustre y fidelissimo braço militar a toda la catalana.</t>
  </si>
  <si>
    <t>Barcelona</t>
  </si>
  <si>
    <t>Relacions de successos|</t>
  </si>
  <si>
    <t>Imprès</t>
  </si>
  <si>
    <t>Catalunya. Virrei</t>
  </si>
  <si>
    <t>Edictes, e cridas fetas, y publicades per manament del excellentissim senyor D. Jordi Langrave de Hassia, ... y Capità General en lo present Principat de Cathalunya, y Comtats de Rossellò, y Cerdanya, y Capità General del Real Exercit de dit Principat</t>
  </si>
  <si>
    <t>Edictes, Crides</t>
  </si>
  <si>
    <t>Austriacisme</t>
  </si>
  <si>
    <t>Beaulieu, Sébastian de Pontault, ca. 1612-1674</t>
  </si>
  <si>
    <t>Plan du siège de la ville de Barcelone avec la Carte de la cote de la Mer depuis le Cap de Cervere jusqu'aux environs de Llobregat, dedié au roy, 1698</t>
  </si>
  <si>
    <t>Desengaño polytico contra un polytico engaño.</t>
  </si>
  <si>
    <t>Lisboa</t>
  </si>
  <si>
    <t>Pamflets</t>
  </si>
  <si>
    <t>Carles II, rei de Castella, 1661-1700</t>
  </si>
  <si>
    <t>Copia del testamento cerrado qve en dos de Octubre de mil y setecientos y del codicilo, qve en cinco del mismo mes y año hizo la magestad del señor rey D. Carlos II</t>
  </si>
  <si>
    <t>Testaments</t>
  </si>
  <si>
    <t>Gemidos de los religiosos y eclesiasticos perseguidos del poder tyrano.</t>
  </si>
  <si>
    <t>Acadèmia Desconfiada (Barcelona, Catalunya)</t>
  </si>
  <si>
    <t>Nenias reales y lagrimas obseqviosas qve a la immortal memoria del gran Carlos Segundo ... en credito de sv mas imponderable dolor y desempeño de sv mayor fineza dedica y consagra la Academia de los desconfiados de Barcelona.</t>
  </si>
  <si>
    <t>Festivas aclamaciones a la feliz svcession a la corona de España y al prospero arribo a la insigne Corte de Madrid ... de Don Felipe de Borbon V rey de Castilla y IV de Aragon, conde de Barcelona, que en obsequio de su magestad y en…</t>
  </si>
  <si>
    <t>Relacions de successos i Villancets</t>
  </si>
  <si>
    <t>Felip V, rei d'Espanya, 1683-1746</t>
  </si>
  <si>
    <t>Villancicos qve se cantaron en la solemne fiesta que celebro la Deputacion del Principado de Cathaluña …</t>
  </si>
  <si>
    <t>Villancets (Poesia)</t>
  </si>
  <si>
    <t>Aspecto del Real Palacio de Madrid y sv plaza, como estuvo el dia 4 de marzo de 1704 en que el Rey catholico n[uest]ro señor D. Phelipe Qvinto saliò a la campaña de Portvgal [Material gràfic]</t>
  </si>
  <si>
    <t>Madrid</t>
  </si>
  <si>
    <t>Guerra de Successió, 1702-1714</t>
  </si>
  <si>
    <t>Nàpols (Regne). Monarca (1700-1707 : Felip IV)</t>
  </si>
  <si>
    <t>Copia de las reals cartas ab que son estats servits lo rey y reyna nostres Senyors ... afavorir al Consistori de diputats y oydors de comptes del present Principat de Cathalunya…</t>
  </si>
  <si>
    <t>Cartes</t>
  </si>
  <si>
    <t>Relacion pronta de la salida qve hizo su Magestad (que Dios guarde) à las fronteras de Portugal, el dia quatro de Março de este año de 1704.</t>
  </si>
  <si>
    <t>França. Monarca (1643-1715 : Lluís XIV)</t>
  </si>
  <si>
    <t>Lettre du roy au Pape : contenant les motifs de la guerre de Savoye.</t>
  </si>
  <si>
    <t>Ubilla y Medina, Antonio Cristóbal</t>
  </si>
  <si>
    <t>Succession de el Rey D. Phelipe V, ,,, en la corona de España: diario de sus viages desde Versalles a Madrid, el qve execvtó para sv feliz casamiento…</t>
  </si>
  <si>
    <t>Cròniques</t>
  </si>
  <si>
    <t>Relacion diaria de lo sucedido en el ataque y defensa de Barcelona, cabeza del Principado de Cathaluña, sitiada por las armas de Inglaterra y Olanda en este año de 1705.</t>
  </si>
  <si>
    <t>Veridica relacion diaria de lo svcedido en el ataque y defensa de Barcelona, cabeza del Principado de Cataluña, sitiada por las tropas de los altos aliados, en este año 1705 : tratase extensamente de lo svcedido en la plaza dia 14 de octubre...</t>
  </si>
  <si>
    <t>Herrera, Alejandro, s. XVII/XVIII</t>
  </si>
  <si>
    <t>Alegacion juridica en que por las verdades mas solidas de la jurisprudencia se muestra el ... derecho con que los Reynos y señorios de España pertenecen por muerte del rey catolico Carlos Segundo al ...</t>
  </si>
  <si>
    <t>Corona Catalanoaragonesa. Monarca (1705-1714 : Carles III)</t>
  </si>
  <si>
    <t>Proposicion qve el rey nvestro Señor Don Carlos Tercero... en 5 de deziembre de 1705 hizo en viva voz a los braços convocados en la Corte General, que celebra en Barcelona en la Casa de la Deputacion.</t>
  </si>
  <si>
    <t>Discursos</t>
  </si>
  <si>
    <t>Noriega, Benito de, Bisbe d'Acerra, 1650-1708</t>
  </si>
  <si>
    <t>Injustitia belli Austriaci contra Catholicum Hispaniarum Regem Philippum V. gliscentis : syntagma theologico-juridicum / a fr. Benedicto de Noriega ... concinnatum &amp; editum…</t>
  </si>
  <si>
    <t>Nàpols</t>
  </si>
  <si>
    <t>Espanya</t>
  </si>
  <si>
    <t>Don Carlos tercero ... aviendo llegado à nuestra Real inteligencia, las desordenes y confussiones que se han introducido desde el tiempo de nuestra llegada en este Principado, y practicado hasta aora en la administracion,...</t>
  </si>
  <si>
    <t>Legislació</t>
  </si>
  <si>
    <t>Finances públiques</t>
  </si>
  <si>
    <t>Proposició qve lo rey nostre senyor ... feu als braços convocats en la Cort General, que celebra en Barcelona y en la casa de la Deputació en sinch de desembre de 1705.</t>
  </si>
  <si>
    <t>Don Carlos tercero ... por quanto la principal incumbencia del paternal amor, con que nos hallamos aplicado en la presente coyuntura al mayor beneficio sossiego y prosperidad de nuestros fieles vassallos, se dirige à aumentar nuestro exercito,...</t>
  </si>
  <si>
    <t>Exèrcits</t>
  </si>
  <si>
    <t>Costa, Joao Álvares da</t>
  </si>
  <si>
    <t>Aquila augusta trisulco obarmata fulmine seu Carolus tertius austriacus rex hispaniarum assertus, et tribus libris propugnatus : opus juridicum, quadantenus tamen historicum...</t>
  </si>
  <si>
    <t>Amsterdam</t>
  </si>
  <si>
    <t>Orense, Julián</t>
  </si>
  <si>
    <t>Sermon de Sto. Thomas de Villanveva : predicado en la real capilla de S. Geronymo de la Vniversidad de Salamanca: sv assvmpto, addiciones al memorial qve la ciudad de Salamanca presentò à su magestad el señor D. Felipe V, que Dios guarde…</t>
  </si>
  <si>
    <t>Salamanca</t>
  </si>
  <si>
    <t>Sermons</t>
  </si>
  <si>
    <t>Diario de todo lo svcedido en esta campaña en Italia, desde el dia 4 de Julio hasta el 9 de Setiembre de 1706 : con relacion distinta de la celebre, tanto como feliz batalla, que alcançaron…</t>
  </si>
  <si>
    <t>Verdad desnuda armada de razon : sucessos innegables con que triunfa de los embustes y enredos que se le oponen en un papel que con aprobacion, dize, del excelentissimo señor arcobispo de Zaragoza, ha esparcido la malicia para…</t>
  </si>
  <si>
    <t>Noticias individuales de los muchos despojos consiguieron sobre Turin, las armas de los altos aliados y de los trofeos que se han seguido à su memorable vitoria : venidas à Barcelona dia 15 de octubre de 1706.</t>
  </si>
  <si>
    <t>Catalunya. Diputació del General.</t>
  </si>
  <si>
    <t>Constitvcions, capitols y actes de Cort fetas</t>
  </si>
  <si>
    <t>Procediment parlamentari</t>
  </si>
  <si>
    <t>Noticias del glorioso triunfo, y vniversal aclamacion à favor del rey nuestro Señor don Carlos IIJ. (que Dios guarde), con que entrò en la ciudad de Milàn el serenissimo señor principe Eugenio…</t>
  </si>
  <si>
    <t>Relacion verdadera de la feliz expugnacion y rendimiento de la plaça de Alcantara, que consiguieron en nombre de la catolica magestad de Carlos III…</t>
  </si>
  <si>
    <t>Negociacions diplomàtiques</t>
  </si>
  <si>
    <t>Gazeta de Barcelona.</t>
  </si>
  <si>
    <t>Revistes</t>
  </si>
  <si>
    <t>Exemplares acciones de devocion y cvlto en que se exercitò la magestad de nuestro adorado rey y señor Carlos Tercero (que Dios guarde) los dias se detuvo en el admirable santuario de la Virgen Santissima de Monserrate.</t>
  </si>
  <si>
    <t>Carles VI, emperador romanogermànic, 1685-1740</t>
  </si>
  <si>
    <t>Breve y curioso romance en que se refiere por mayor la feliz y plausible entrada publica de nuestro Catolico Monarca Carlos Tercero (que Dios guarde) en su Nobilissima, Leal y Coronada ciudad de Valencia el dia 10 de Octubre deste presente año de 1706.</t>
  </si>
  <si>
    <t>Relacions de successos i Poesia</t>
  </si>
  <si>
    <t>Relacion breve y resvmen de lo svcedido en Barcelona desde el dia 6 hasta 12 de Mayo 1706, que empeçó à moverse el enemigo, para desistir del assedio de dicha ciudad, hasta desaparecerse de ella, ofreciendo prontamente la relacion diaria de lo sucedido…</t>
  </si>
  <si>
    <t>Diario y continvacion de los felizes svcessos han tenido las armas del serenissimo señor Rey de Portugal, mandadas por el ... Marquès de las Minas, en los reynos de Castilla…</t>
  </si>
  <si>
    <t>Relacions de successos</t>
  </si>
  <si>
    <t>Carta del rey Nvestro Señor Don Carlos Tercero (que Dios guarde) del despedimiento a la excelentissima ciudad de Barcelona.</t>
  </si>
  <si>
    <t>Copia de la real carta que la magestad de Carlos IIJ (que Dios guarde) al partirse de Barcelona escriviò al excelentissimo y fidelissimo Co[n]sistorio de la Deputación, en aprecio de su lealtad, fidelidad y servicios.</t>
  </si>
  <si>
    <t>[Carta datada a Barcelona, 24 de Maig de 1706]</t>
  </si>
  <si>
    <t>Crides</t>
  </si>
  <si>
    <t>Josep I, Emperador, 1678-1711</t>
  </si>
  <si>
    <t>Copia y traduccio de la carta de la S.C. y R. Magestat del Senyor Emperador Joseph I, rey de Vngria, Bohemia, &amp;c., archiduch de Austria, &amp;c. escrita als excelentissims senyors Concellers, Senat i poble de la ciutat de Barcelona.</t>
  </si>
  <si>
    <t>Don Carlos, por la gracia de Dios rey de Castilla ...  Bien notoria es á toda Europa ...</t>
  </si>
  <si>
    <t>València</t>
  </si>
  <si>
    <t>Manifests</t>
  </si>
  <si>
    <t>Relacion de la gloriosa vitoria han conseguido las armas del rey nuestro señor (que Dios guarde) comandadas por el excelentissimo señor Conde de la Puebla General, contra las del enemigo, comandadas por el coronel Fr. Don Miguel Pons…</t>
  </si>
  <si>
    <t>Elionor, emperadriu, consort de Leopold I, emperador romanogermànic, 1655-1720</t>
  </si>
  <si>
    <t>Copia y tradvccio de la carta de la avgvstissima senyora dona Eleonor Magdalena Theresa viuda del augustissim senyor Leopoldo Primer, mare del augustissim senyor emperador Ioseph I y de la S.C. y R. magestat del serenissim senyor Carlos Tercer</t>
  </si>
  <si>
    <t>Copia de la real carta qve la magestad de Carlos Tercero (que Dios guarde) ha escrito à la imperial ciudad de Çaragoca, con la del maestro de campo general Conde de Noelles.</t>
  </si>
  <si>
    <t>Guillemina Amàlia, emperadriu, consort de Josep I, emperador romanogermànic, 1673-1742</t>
  </si>
  <si>
    <t>Copia y traduccio de la carta de la avgvstissima senyora dona Wilhelmina Amalia, Emperatris, muller del ... senyor emperador Josep I, escrita als ... senyors Concellers, Senat y poble de la ciutat de Barcelona.</t>
  </si>
  <si>
    <t>Pere II, Rei de Portugal, 1648-1706</t>
  </si>
  <si>
    <t>Tradvccion de la carta escrita por la S. y R. magestad del señor rey de Portugal à los señores Conselleres de la ciudad de Barcelona.</t>
  </si>
  <si>
    <t>Copia de las cartas, en sv original latinas y en la traduccion castellanas, escritas por las S.C. y reales magestades del ... emperador Joseph ... y de las señoras emperatriz viuda y emperatriz reynante, al ... Braço Militar del Principado de Cathaluña.</t>
  </si>
  <si>
    <t>Reflexiones sobre los verdaderos intereses de los españoles en la presente coyvntvra : dirigido a los grandes, señores, titvlos y mas personas eclesiasticas y seglares de toda la monarqvia de España / traducidas de francès en español.</t>
  </si>
  <si>
    <t>Sense lloc</t>
  </si>
  <si>
    <t>Clarin de la Evropa, hipocresia descifrada, España advertida, verdad declarada.</t>
  </si>
  <si>
    <t>Saragossa</t>
  </si>
  <si>
    <t>Don Carlos, por la gracia de Dios rey de Castilla...: Bien notoria es à toda Europa la firmeza con que por parte del augustissimo emperador…</t>
  </si>
  <si>
    <t>Carta escrita per lo rey nostre senyor Don Carlos III... al... Consistori dels senyors Deputats y Oydors de Comptes del General de Cathalunya, ab la qual es servit manifestar quant ha merescut en son real...</t>
  </si>
  <si>
    <t>Encara que ab Carta de data 31 de Ianer proxim passàt, per Propri escriguerem á v.m. participantlos, com los tres Illustrissims Estaments de la Cort General, que de present celebra lo Rey nostre Senyor (Deu lo guarde) en…</t>
  </si>
  <si>
    <t>Impostos</t>
  </si>
  <si>
    <t>Nos Don Carlos ... Havent ja lo enemic experimentàt ab repetits escarments la perdua de sas millors tropas, aixi ab los avanços, que ha donàt en lo fort de Monjuich, com ab las que lo valor dels paysans…</t>
  </si>
  <si>
    <t>Nos Don Carlos ... Havent procurát per tots los medis possibles la defensa de est nostre Principat, y assenyaladament la de esta Capital, per conservar à tant faels, y amats Vassalls en la llibertat…</t>
  </si>
  <si>
    <t>Nos Don Carlos ... Son conocidos en todo el mundo los derechos irrefragables, que por leyes de iusticia, y vinculos de la sangre, nos constituyen, y proclaman el Rey legitimo, y Dueño natural de toda la Monarquia de España…</t>
  </si>
  <si>
    <t>Floriano, Antonio, Príncep de Liechtenstein</t>
  </si>
  <si>
    <t>Don Antonio Floriano ... Atendiendo, que la dependencia del estado, persuade à su Mag. (Dios le guarde) salir de esta capital, para el mayor consuelo de sus fidelissimos Vassallos, y que desde la feliz entrada de…</t>
  </si>
  <si>
    <t>Deutes</t>
  </si>
  <si>
    <t>Carta escrita per lo Rey nostre Senyor Don Carlos III... al excellentissim, y fidelissim Consistori dels Senyors Deputats, y Oydors de Comptes del General de Cathalunya, ab la qual es servit manifestar quant ha merescut en son Real Conspecte…</t>
  </si>
  <si>
    <t>Los Illustrissims tres estaments de la Cort General, que de present celebra lo Rey nostre Senyor (Deu lo guarde) en esta Casa de la Deputaciò han remès á nostre Consistori vnas Lletras, que son del thenor seguent:…</t>
  </si>
  <si>
    <t>Don Carlos Tercero ... por quanto conviene à mi Real Servicio aumentar las Tropas de mis Exercitos, y particularmente las de Cavalleria, y ha llegado à mi Real noticia, que en el dia 14 de Octubre del año proximo passado se apropriaron…</t>
  </si>
  <si>
    <t>Forces armades</t>
  </si>
  <si>
    <t>Nos Don Carlos ... por quanto, de la obligacion del verdadero Monarca, amante de sus fidelissimos Vassallos, es muy proprio desvelar en el cuydado de mantenerles, en la libertad, y tranquilo estado, que se merecen por su buena ley; y…</t>
  </si>
  <si>
    <t>Diaria y veridica relacion de las operaciones y sucessos del sitio de la ciudad de Barcelona desde el dia 31 de março de 1706 hasta la retirada del enemigo.</t>
  </si>
  <si>
    <t>Cifuentes, Fernando de Silva y Meneses, Conde de, ca. 1670-ca. 1749</t>
  </si>
  <si>
    <t>Carta que escrivió el ... Conde de Cifuentes, à los señores labradores de la imperial ciudad de Zaragoza ; [Respuesta, que haze un cirujano valenciano, con quarto de catalan llamado Adobícascos, al ... Conde de Cifuentes]</t>
  </si>
  <si>
    <t>Gandia</t>
  </si>
  <si>
    <t>Copia de la real carta ab qve...</t>
  </si>
  <si>
    <t>Administració militar</t>
  </si>
  <si>
    <t>Ecos de la verdad en siete dialogos sobre lo sucedido en el assedio de Barcelona : año 1706.</t>
  </si>
  <si>
    <t>Giribets, Jeroni, m. 1744</t>
  </si>
  <si>
    <t>Leales, verissimas y amantes expressiones de un celeste establecimiento del Principado de Cathaluña, y de todo lo demàs del Reyno de las Españas, baxo el svavissimo dominio de... Carlos III ... y de sus successores austriacos monarcas...</t>
  </si>
  <si>
    <t>Relacions de successos?</t>
  </si>
  <si>
    <t>Articulos de la capitulacion del castillo de Lerida y fuerte de Gardeny, entre ... el señor duque de Orleans de vna parte y ... el señor principe de Hassia Darmstad, comandante general de dicha plaça.</t>
  </si>
  <si>
    <t>Capitulacions</t>
  </si>
  <si>
    <t>Diario de todo lo sucedido en el sitio y expugnacion de la importante plaça de Sussa, que han ocupado su alteza real de Saboya y el señor principe Eugenio de Saboya.</t>
  </si>
  <si>
    <t>Funerales exequias y magestuosas honras con que la piedad del rey nuestro señor D. Phelippe V el Animoso eternizó la memoria de sus difuntos soldados en la feliz batalla de el dia veinte y cinco de Abril de este presente año de mil setecientos…</t>
  </si>
  <si>
    <t>Batalla d'Almansa, 1707</t>
  </si>
  <si>
    <t>Condiciones bajo las qvales han ofrecido los oficiales de las dos coronas evacuar la plaças de la Lombardia y retirar sus tropas en Francia / traducidas de francès en español.</t>
  </si>
  <si>
    <t>Mveca de mogigangas y mogigangos.</t>
  </si>
  <si>
    <t>Coronacion de nvestro catholico monarca Carlos Tercero qve Dios gvarde, celebrada en Viena, representada en la ciudad de Mallorca por los Collegios de Notarios y Escrivanos á 31 de Octubre de 1706 …</t>
  </si>
  <si>
    <t>Mallorca</t>
  </si>
  <si>
    <t>Puga y Rojas, Tomás de</t>
  </si>
  <si>
    <t>Compendio militar : qve demvestra a todos los professores de la gverra, oficiales y soldados, lo tocante à sus exercicios assi en campaña y expugnaciones de toda suerte de plaças.</t>
  </si>
  <si>
    <t>Quesada (Jaén)</t>
  </si>
  <si>
    <t>Ciència militar</t>
  </si>
  <si>
    <t>Respuesta a la carta pastoral del excelentissimo señor Dn. Antonio Ybañes de la Riva Herrera, arçobispo de Zaragoza, &amp;c. a los fieles de su arçobispado</t>
  </si>
  <si>
    <t>La Paz octaviana que prometen las victorias de Carlos III y svs altos aliados : con la verdadera hvmillacion de la mentida omnipotencia de la Francia ... / su autor, un fiel vasallo de su Magestad.</t>
  </si>
  <si>
    <t>Relacion individual de la toma de la ciudad y castillo de Caller y de todo el reyno de Cerdeña, con las capitulaciones de dicha ciudad y reyno : Caller 20 de agosto 1708.</t>
  </si>
  <si>
    <t>Relacion del feliz svcesso qve ha logrado el destacamento comandado por el Señor Conde de la Atalaya, que se ha dicho aver marchado à Cervera, derrotando enteramente 400 cavallos del Enemigo : venida à Barcelona, y publicada el dia 11 de julio de 1708.</t>
  </si>
  <si>
    <t>Relacions de successos - cal afegir-ho al rb</t>
  </si>
  <si>
    <t>Copia de la real carta ab que la magestat del Rey nostre senyor, (Deu lo guart) se ha dignat lo dia 19 de janer de 1708 honorar al consistori dels excellentissims, y fidelissims deputats…</t>
  </si>
  <si>
    <t>Feliu de la Penya i Farell, Narcís</t>
  </si>
  <si>
    <t>Anales de Catalvña y epilogo breve de los progressos y famoso hechos de la nacion catalana…</t>
  </si>
  <si>
    <t>Ripamón Cielvegra, Arias</t>
  </si>
  <si>
    <t>Compendio historico de la guerra de Lombardia entre los altos aliados y los galli-hispanicos / escrito por Arias Ripamon Cielvegra ...</t>
  </si>
  <si>
    <t>Fullets</t>
  </si>
  <si>
    <t>Surville, Lois-Charles de Hautefort, marquis de, 1657 o 1658-1721</t>
  </si>
  <si>
    <t>Proposiciones hechas por el marques de Surville, en la rendicion de la ciudadela de Tornay, recibidas por el baron de Ogilvi, sargento mayor del Regimiento de Baden…</t>
  </si>
  <si>
    <t>Extracto de cartas del marques del Burgo y del conde Maffei, ministros del señor duque de Saboya en el Haya; escritas à su Alteza Real en 29 de Mayo de 1709 / traducido de italiano en español.</t>
  </si>
  <si>
    <t>Santissimo padre. Ya que el doloroso motivo que lloro, me pone en la pluma la muda voz, que falta à los labios ... Es V. Santidad fuente, y centro de la justicia, y como tal, fue necessario que el sagrado impulso...</t>
  </si>
  <si>
    <t>Solaro della Margarita, Giuseppe Maria Maurizio, 1644-1719</t>
  </si>
  <si>
    <t>Journal historique du siege de la ville et de la citadelle de Turin l'année 1706.</t>
  </si>
  <si>
    <t>Discvrso general de la presente guerra sobre el estado que oy tiene y sucesso de la campaña passada.</t>
  </si>
  <si>
    <t>Capitvlos preliminares de la paz que se conclvyeron en el Haya y ha remitido al Rey nuestro señor ... el señor Dvqve principe de Marlebovrg con carta de 28 de Mayo del presente año de 1709, con el sargento mayor Throgmorton...</t>
  </si>
  <si>
    <t>Tractats</t>
  </si>
  <si>
    <t>Colón de Portugal y Cabrera, Antonio, Conde de la Puebla de Portugal</t>
  </si>
  <si>
    <t>Copia de carta qve el Conde de la Pvebla ha escrito al Rey nvestro Sr. (que Dios guarde,) dandole noticia de lo svcedido en Benasque y fronteras de Aragon.</t>
  </si>
  <si>
    <t>Sentencia practica de regvlares galhispanos à favor de los Imperiales, confirmada con la practica y authoridad suprema de los soberanos</t>
  </si>
  <si>
    <t>Copia de la real carta manada escrivrer per la S.C. y Real Magestat del Rey Nostre Senyor (qve Dev gvarde) al Excellentissim y Fidelissim Consistori dels Senyors Deputats y Oydors de Comptes del General de Cathalunya, als 6 de Setembre 1711.</t>
  </si>
  <si>
    <t>Copia de la avgvsta real carta manada escrivrer per la S.C. Real y Cesarea Magestat del Senyor Don Carlos Tercer Emperador de Romans nostre Rey y Senyor (qve Dev gvarde) al Excellentissim y Fidelissim Consistori dels Senyors Deputats</t>
  </si>
  <si>
    <t>Copia de la real carta escrita per la S.C.C. y Real Magestat del Rey nostre Senyor (qve Dev gvarde) al Excellentissim y Fidelissim Consistori dels Senyors Deputats y Oydors de Comptes del General de Cathalunya : a 31 de Desembre 1711.</t>
  </si>
  <si>
    <t>Copia de la real carta manada escrivrer per la S.C. y Real Magestat del Rey nostre Senyor (qve Dev gvarde) al Excellentissim y Fidelissim Consistori dels Senyors Deputats y Oydors de Comptes del General de Cathalunya.</t>
  </si>
  <si>
    <t>Copia de la real carta manada escrivrer per la S.C. i real Magestat del Rey nostre senyor ... al ... Consistori dels senyors Deputats y Oydors de comptes del general de Cathalunya.</t>
  </si>
  <si>
    <t>Copia de la real carta escrita per la S.C.C. y real magestat del Rey nostre senyor ... al ... Consistori dels senyors concellers de la ciutat de Barcelona.</t>
  </si>
  <si>
    <t>Copia de la real carta escrita per la S.C. y real magestat del Rey nostre senyor ... al ... Consistori dels senyors concellers de la ciutat de Barcelona.</t>
  </si>
  <si>
    <t>Montestruch Fernández de Ronderos, Pablo de</t>
  </si>
  <si>
    <t>Viage real del Rey Nvestro Señor Phelipe Qvinto (qve Dios gvarde), causa de la guerra, y remedio para conseguir la paz: Dividese esta obra en dos libros, en el primero se refiere la salida del Rey de esta Corte en nueve de septiembre de 1710…</t>
  </si>
  <si>
    <t>Copia de la real carta escrita per la S.C.C. y real magestat del Rey nostre senyor ... al ... Consistori dels senyors Concellers de la ciutat de Barcelona.</t>
  </si>
  <si>
    <t>Elisabet Cristina, de Brunsvic-Wolfenbüttel, emperadriu, consort de Carles VI, emperador romanogermànic, 1691-1750</t>
  </si>
  <si>
    <t>Copia de la real carta escrita per la S.C.C. y real magestat de la Reyna nostra senyora ... al ... Consistori dels senyors Concellers de la ciutat de Barcelona.</t>
  </si>
  <si>
    <t>La Fee y la esperanza, el avstro contra Aqvilon, cordial para debiles y desmayados y confortante para freneticos y delirados.</t>
  </si>
  <si>
    <t>Los Suspiros de la Evropa a vista de el proyecto de paz contenido en la harenga de la reyna de la Gran Bretaña a su Parlamento de 17 de Iunio de 1712.</t>
  </si>
  <si>
    <t>Copia de carta escrita de vn verdadero castellano à la Corte de Viena à vn ministro.</t>
  </si>
  <si>
    <t>Despertador de Cathalvnya : per desterro de la ignorancia, antidoto contra la malicia, foment a la paciencia y remey a la pvsillanimitat : en pvblich manifest de las lleys y priuilegis de Cathalvnya...</t>
  </si>
  <si>
    <t>Havent tingut est Consistori alguna intelligencia de que algunas personas attenent sols al interès, y lucro particular, y no al benefici publich: no duptarian passar als Enemichs Armas, Cavalls, com tambè manteniments de boca, y guerra…</t>
  </si>
  <si>
    <t>Havent lo Excelentissim y Fidelissim Consistori de Deputats y Oydors de est Principat de Cathalunya, ab intervenció dels Braços Militàr y Real, per regoneixer fer la causa comuna, resolt exir à la defensa de las Constitucions…</t>
  </si>
  <si>
    <t>Catalunya. Governador (1705-1713 : Sentmenat-Torrelles)</t>
  </si>
  <si>
    <t>Havent arribàt à nostra noticia, que las Cridas de nostre orde manadas publicar als 11 del corrent mes, y any, y las Cartas, que se escrigueren à diferents Comuns, y Oficials, haurian induhit à…</t>
  </si>
  <si>
    <t>Barcelona (Catalunya). Consell de Cent</t>
  </si>
  <si>
    <t>Ara ojats, tothom generalment, de part dels Excelentissims Senyors Concellers, Vintiquatrena de Guerra, y Personas à ella associadas, vsant de la facultàt, y podèr donàt, y atribuit per lo Excelentissim y Savi Concell de Cent…</t>
  </si>
  <si>
    <t>Certifich, y fas fee Jo Don Ramon de Codina y de Ferreras, subrogàt en lo ofici de Secretari, y Escrivà Mayor ... Don Anton de Berenguer y Novell (per ocasiò de la anada que ha de fer per Cathalunya, segons lo deliberàt al dos del corrent…</t>
  </si>
  <si>
    <t>Certificats</t>
  </si>
  <si>
    <t>Ordenansas fetas per lo Excelentissim Consistori dels Senyors Concellers de la present Civtat de Barcelona, Novena de Guerra, y Personas à ella associadas, tinguda, y celebrada lo die 14 de Desembre 1713 per lo bon regimen…</t>
  </si>
  <si>
    <t>Ordenances</t>
  </si>
  <si>
    <t>Marina de guerra</t>
  </si>
  <si>
    <t>De part dels Excelentissims Senyors Concellers de la present Ciutat de Barcelona, inseguint las deliberacions presas en las Novenas de Guerra ... se diu, y notifica à totas, y qualsevols Personas que vullan assentàr Plaça fins al numero de…</t>
  </si>
  <si>
    <t>Cridas manadas publicar per lo Molt Illustre, y Espectable Senyor Portantveus de General Governador del Principat de Cathalunya, als 31 de Agost 1713. Ara ojàts tothom generalment…</t>
  </si>
  <si>
    <t>Repartiment dels civtadans y habitants de Barcelona, qve no mvntan las gvardas en la coronela, dividit en quatre Quartos, y los llochs ahont hauràn de acudir en cas de Rebato, ho ser avisats los de cada Quarto, ab sas Armas</t>
  </si>
  <si>
    <t>Ara ojats, tothom generalment, qvevs notifican, y fan a saber de part dels Excelentissims Senyors Concellers, Vintiquatrena de Guerra, y Personas à ella associadas, vsant de la facultàt, y podèr donàt…</t>
  </si>
  <si>
    <t>Ara ojats, de part dels Excelentissims Senyors Concellers de la present Excelentissima Ciutat de Barcelona, inseguint la deliberaciò per dits Excelentissims Senyors Concellers, ab Vot, y parer de la Novena de Guerra, y Personas à ella associadas</t>
  </si>
  <si>
    <t>Manifiesto de solidas verdades, desengaño de ignorantes: breve y compendioso discurso para prueba y calificacion del derecho, justicia y razon que assiste al grande monarca de las Españas, don Phelipe Quinto...</t>
  </si>
  <si>
    <t>Girona</t>
  </si>
  <si>
    <t>Convencion para la evacuacion de la Cataluña y el armisticio de Italia. Convencion para vna suspension de armas entre el Rey Christianissimo y S.A.R. de Saboya.</t>
  </si>
  <si>
    <t>Utrecht</t>
  </si>
  <si>
    <t>Proposició feta per los Excellentissims y Fidelissims Senyors Depvtats del General de Cathalvnya, a la Jvnta de Braços tinguda als 30 de Iuny 1713.</t>
  </si>
  <si>
    <t>Don Ioseph Patiño, cavallero de la Orden de Alcantara, del Consejo de su Magestad ... Atendiendo à que despues de quedar incorporado à la Real Hazienda de su Magestad ... como à patrimonio suyo y rentas reales, …</t>
  </si>
  <si>
    <t>D. Jvan Francisco de Bette, Marquès de Lede ... Deviendose executar la entrega de las armas, como està prevenido en el Decreto del señor Duque de Bervich, que se publicó el dia onze del corriente ...</t>
  </si>
  <si>
    <t>Desarmament</t>
  </si>
  <si>
    <t>Don Ioseph Patiño, cavallero de la Orden de Alcantara ... è Intendente General del Exercito y Principado de Cataluña. Siendo continuos los inconvenientes que suceden en el comercio,...</t>
  </si>
  <si>
    <t>Canvi exterior</t>
  </si>
  <si>
    <t>Catalunya. Superintendente General (1713-1716 : Patiño y Rosales)</t>
  </si>
  <si>
    <t>Los notorios y excessivos gastos que por la publica quietud y tranquilidad de este Principado, se ha visto obligado el Rey nuestro señor de hazer, le han assi mismo constituido en la precision de pedir à este Principado vn donativo ...</t>
  </si>
  <si>
    <t>Rifós, Francesc</t>
  </si>
  <si>
    <t>Nos Ioseph Rifós Prevere en Drets Doctor, Canonge de la Santa Iglesia de Barcelona, en lo espiritual, y temporal Vicari General, y Oficial per lo Eminentissim y Reverendissim Senyor Don Benet de Sala...</t>
  </si>
  <si>
    <t>Dispenses canòniques</t>
  </si>
  <si>
    <t>Dejuni i abstinència</t>
  </si>
  <si>
    <t>Ara ojats tothom generalment, qvevs notifican, y fan a saber de part dels Excelentissims Senyors Concellers de la present Excelentissima Ciutat, y altres Personas anomenadas, com à tenint facultàt del Excelentissim, y Savi Concell de Cent…</t>
  </si>
  <si>
    <t>Ara ojats, generalment, qvevs notifican, y fan a saber de part dels Excelentissims Senyors Concellers de la present Excelentissima Ciutat, y altres Personas anomenadas, com à tenint facultàt del Excelentissim, y Savi Concell de Cent, tingut…</t>
  </si>
  <si>
    <t>Corona Catalanoaragonesa.|bMonarca (1705-1714 : Carles III)</t>
  </si>
  <si>
    <t>Las Molt afavoridas cartas de las S.C.C. y Reals Magestats del Rey y la Reyna nostre</t>
  </si>
  <si>
    <t>Ara ojats tothom generalment, de part dels Excellentissims Senyors Concellers de la present Excellentissima Ciutat de Barcelona, Vint y quatrena de Guerra, y Personas à ella assosiadas, en forsa de la Deliberaciò…</t>
  </si>
  <si>
    <t>Catalunya. Lloctinent</t>
  </si>
  <si>
    <t>Ara ojats tothom generalment, queus notifican, y fan à saber, de part del Illustre Senyor Don Francisco de Sayol y de Quarteroni, del Orde y Milicia de Calatrava, del Consell de sa Magestat (que Deu guarde) Lloctinent de Batlle General y…</t>
  </si>
  <si>
    <t>Ara ojats tothom generalment, de part dels Excelentissims Senyors Concellers de la present Ciutat de Barcelona, Se notifica y fa à saber, dom la dita Ciutat desitjant evitàr los desordes ques cometen per los Soldats y Paysans en arrencàr y…</t>
  </si>
  <si>
    <t>Ara ojats, tothom generalment, de part dels Excelentissims Senyors Concellers de la present Ciutat de Barcelona, Ques notifica y fa á saber à tots, y qualsevols Armers, Encepadors, Serrallers y altres Personas de qualsevol estàt…</t>
  </si>
  <si>
    <t>Ara ojats, a tothom generalment, de part dels Excelentissims Senyors Concellers de la present Excelentissima Ciutat de Barcelona, E inseguint lo resolt y deliberàt per la Excelentissima Iunta de Vint y quatrena de Guerra y Personas à ella associadas…</t>
  </si>
  <si>
    <t>Notori es à totas las Illustres Ciutats, Vilas y Llochs de aquest Principàt de Catalunya, quant ha procuràt sempre la Ciutat de Barcelona esser la que may ha reparàt en sacrificàr sas vidas…</t>
  </si>
  <si>
    <t>Villarroel i Peláez, Antoni de, 1656-1742</t>
  </si>
  <si>
    <t>Don Antonio de Villarroel ... Por quanto se halla esta Ciudad assediada por los Enemigos, assi por Mar, como por Tierra y en esta consideracion experimentarse diferentes ruìnas de las Bombas, motivando à sus Moradores dexàr sus Casas y bienes…</t>
  </si>
  <si>
    <t>Cartas escritas per las S.C.C. y Reals Magestats del Rey y Reyna nostres Senyors (que Deu guarde) Als Excellentissims y Fidelissims Senyors Protector y Bras Militar del Principat de Cathalunya.</t>
  </si>
  <si>
    <t>Copia de las Reals Cartas escritas per las S.C.C. y Reals Magestats del Rey y Reyna Nostres Senyors (qve Dev gvarde) al Excelentissim Consistori dels Senyors Concellers de la Ciutat de Barcelona als 28 de mars 1714.</t>
  </si>
  <si>
    <t>Las Molt afavoridas cartas de las S.C.C. y Reals Magestats del Rey y la Reyna nostres Senyors (que Deu guart) Als Excellentissims, y Fidelissims Senyors Deputats…</t>
  </si>
  <si>
    <t>Espanya. Superintendent de Catalunya</t>
  </si>
  <si>
    <t>Don Ioseph Patiño, cavallero de la Orden de Alcantara... Conviniendo al Real servicio, que se execute la recluta de los artilleros, y marineros, que se necessitan, para tripular y completar los equipages de los navios del Rey; y constandome, que los que se hallan en este puerto, se embarcan en qualquiera embarcacion que llega...</t>
  </si>
  <si>
    <t>Edictes</t>
  </si>
  <si>
    <t>Barcelona (Catalunya). Junta d’Administradors provisionals</t>
  </si>
  <si>
    <t>Capitol 17 : De las cridas dels illustres senyors administradors de la present Ciutat de Barcelona, manadas publicar als 23 y 24 de octubre de 1714 per lo tocant à la Mostassaria. Item, se estableix, ordena, y mana, que tots los revenedors, ò revenedoras de la present Ciutat, ò altres qualsevols personas, que revendràn aviram, bolateria o caça...</t>
  </si>
  <si>
    <t>Aliments, preus</t>
  </si>
  <si>
    <t>Capitol 27 : De las cridas dels illustres senyors administradors de la present Ciutat de Barcelona, manadas publicar als 23 y 24 de octubre de 1714 per lo tocant à la Mostassaria. Item, que ninguna persona puga haver, ni demanar del carbò, llenya, y cosas baix escritas mes dels preus seguents, es à saber...</t>
  </si>
  <si>
    <t>Carbó, fusta, preus</t>
  </si>
  <si>
    <t>Capitol 73 : De las cridas dels illustres senyors administradors de la present Ciutat de Barcelona, manadas publicar als 23 y 24 de octubre de 1714 per lo tocant à la Mostassaria. Item, se estatueix, ordena, y mana, que persona alguna qui vendrà las cosas infrascritas dins la present Ciutat, y en son territori, no puga haver ni demanar mes dels preus seguents. Primò, lo quintar de la cals de palet de riera à set sous...</t>
  </si>
  <si>
    <t>Guix, preus</t>
  </si>
  <si>
    <t>Havent en tant repetidas ocasions ensenyat la experiencia, quant vinculada està en tots los habitants…</t>
  </si>
  <si>
    <t>Lealtad cathalana purificada de invidiosas calumnias entre llamas de sufrimientos, en el crisol de la constancia : esmaltada con lo heroyco de la resolucion de defenderse Cathaluña por el Rey y por la Patria.</t>
  </si>
  <si>
    <t>Vilafranca del Penedès</t>
  </si>
  <si>
    <t>Don Joseph Patiño, cavallero de la Orden de Alcantara, del Consejo de sv Magestad ... En la consideracion de las providencias que para el bien comun y utilidad publica de esta ciudad de Barcelona y …</t>
  </si>
  <si>
    <t>Don Ioseph Patiño, cavallero del Orden de Alcantara ... è Intendente General del Exercito y Principado de Cataluña.</t>
  </si>
  <si>
    <t>Moneda</t>
  </si>
  <si>
    <t>Don Joseph Patiño ... Por qvanto el Rey nuestro señor ... ha sido servido resolver y mandar que en todo este Principado de Cataluña, se vse el papel sellado para todo genero de escrituras y negocios, segun la calidad de sus sellos y tasa de …</t>
  </si>
  <si>
    <t>Impostos del timbre</t>
  </si>
  <si>
    <t>Disposicion para el regimen de la Nveva Planta de la tabla de los cambios y comvnes depositos de la civdad de Barcelona y oficiales de ella / [Don Ioseph Patiño]</t>
  </si>
  <si>
    <t>Don Francisco Pio de Saboya, Movra, Corte Real y Moncada ... Como la experiencia aya evidenciado los desordenes y excessos que suceden en esta Ciudad y Principado, originados de la multitud de quadrillas de todo genero de Personas, …</t>
  </si>
  <si>
    <t>Ordre públic</t>
  </si>
  <si>
    <t>Espanya. Capità General de Catalunya (1715-1722 : Pio di Savoia e Moura Corte-Real)</t>
  </si>
  <si>
    <t>Don Francisco Pio de Saboya, Moura, Corte Real, y Moncada, Marques de Castel-Rodrigo ... Siendo grande el número de gitanos, y gitanas, que ay en esta capital de Barcelona, y en el Principado ...</t>
  </si>
  <si>
    <t>Gitanos</t>
  </si>
  <si>
    <t>Don Francisco Pio de Saboya, Moura, Corte Real, y Moncada, Marques de Castel-Rodrigo ... No obstante, que es materia bien sabida, y notoria, que todas las leyes universales condenan por reos de Lesa Mag. in primo Capite, á las personas de qualquier grado, estado, ò condición que fueren, las quales atrevidamente, y de su privada autoridad, escriven, y tienen correspondencia con los paises enemigos, ò con personas que sigan el dominio, ò parcialidad de la potencia enemiga...</t>
  </si>
  <si>
    <t>Epistolaris, Països Estrangers, Mesures d'excepció</t>
  </si>
  <si>
    <t>Catalunya. Junta Superior de Justicia y Gobierno</t>
  </si>
  <si>
    <t>La Real Junta Superior de Iusticia y Govierno de la presente ciudad de Barcelona y Principado de Cathaluña à vosotroslos Vegueres, Sosvegueres, Bayles, Sosbayles y demàs Iustic ias, que exerceis iurisdiccion ordinaria assi regia como baronal ...</t>
  </si>
  <si>
    <t>Don Francisco Pio de Saboya, Movra, Corte Real ... Por quanto en el Edicto, que de nuestra orden se publicò en 7 de agosto proximo passado, se mandò, en pena de vida, que todos los patrones ò marineros, naturales deste Principado ò moradores de èl, que tuvieren à su propio vso, direccion, cargo, ò factoria, alguna embarcacion, devan ... dar vn exacto manifiesto de todas las armas y municiones que llevaren à bordo ...</t>
  </si>
  <si>
    <t>Armament, Transport</t>
  </si>
  <si>
    <t>Espanya. Monarca (1713-1746 : Felip V)</t>
  </si>
  <si>
    <t>Ordenanza tocante a los reos militares que se ausentan ò se retiran al sagrado de las iglesias. El Rey, Por quanto con la frequencia de cometer delitos se ausentan ò retiran los reos militares al sagrado de las iglesias y por no estar prevenido en mis ordenanças el modo de proceder contra los reos ausentes ...</t>
  </si>
  <si>
    <t>Aranjuez</t>
  </si>
  <si>
    <t>Dret militar</t>
  </si>
  <si>
    <t>Don Francisco Pio de Saboya ... Considerando, que sin embargo de que por las Reales ordenanças de su Magestad, queda dispuesta la precisa obligacion de las Iusticias de las villas y lugares de estos reynos, en reconocer, examinar y detener a qualesquier soldados que vagaren por el pais, extraviados de las plaças de sus guarniciones o quarteles sin oficial que los comande o passaporte legitimo ...dexando libremente correr por el pais .. dexandoles aloxar en las casas y masias de sus territorios y subministrandoles los viveres que piden ...</t>
  </si>
  <si>
    <t>Deserció militar</t>
  </si>
  <si>
    <t>Don Francisco Pio de Saboya, Movra, Corte Real ... Por quanto hemos recibido vna Real Orden y Decreto del Rey, su fecha en Buen Retiro á 23 de agosto deste año 1715, en que despues de la Nueva Planta y formacion del Consejo Supremo de Guerra ... se declara y dispone, que personas yen que casos han de gozar del Fuero militar de oy en adelante ...</t>
  </si>
  <si>
    <t>Decrets</t>
  </si>
  <si>
    <t>Tatxa, dels preus de las cosas baix escritas, en que deuhen vendrer dins la present ciutat disposada per la molt Illustre Junta dels señors administradors de la present Ciutat, en jornada de 21 de Noembre 1715</t>
  </si>
  <si>
    <t>Capitol III y IV : De las cridas dels illustres senyors administradors de la present Ciutat de Barcelona, manadas publicar als 9 de abril del corrent any 1715 per lo tocant à la Mostassaria. Item, se estatuheix, ordena, y mana, que los taverners degan tenir dos calitats de vi claret pera vendrer à la menuda, es á saber, vi bo, y vi inferior...</t>
  </si>
  <si>
    <t>Vi, preus</t>
  </si>
  <si>
    <t>Capitol I: De las cridas dels illustres senyors administradors de la present Ciutat de Barcelona, manadas publicar als 8 de abril de 1715 per lo tocant à la Mostassaria. Primerament se estatueix ordena, y mana, que tota, y qualsevol persona, que voldrá vendrer à la present ciutat, y son districte, aviràm, bolateria, ò caça, així sia de sa cullita...</t>
  </si>
  <si>
    <t>Edictos ó bandos, hechos y pvblicados por orden del ... señor Don Francisco Pio de Saboya ... governador y capitán general de este exercito y Principado de Cathaluña.</t>
  </si>
  <si>
    <t>Administració de justícia</t>
  </si>
  <si>
    <t>Don Francisco Pio de Saboya Movra ... Governador y Capitàn General de este exercito y Principado de Cathaluña. Avnqve precediendo Orden de su Magestad (que Dios guarde), el principe Tserclaes y de Tilli à …</t>
  </si>
  <si>
    <t>Deportació</t>
  </si>
  <si>
    <t>Don Ioseph Patiño, cavallero de la Orden de Alcantara ... Intendente General del Exercito y Principado de Cathaluña. En consideracion de aver sido su Magestad servido, por su Real clemencia, …</t>
  </si>
  <si>
    <t>Don Ioseph Patiño ... Superintendente General del exercito y Principado de Cataluña. Por qvanto en veinte y nueve de octubre de mil setecientos y catorce, con motivo del estanque de la sal, se publicó…</t>
  </si>
  <si>
    <t>Requisicions</t>
  </si>
  <si>
    <t>Don Francisco Pio de Saboya Movra Corte Real y Moncada ... Aviendo recibido por via del Consejo Real de Castilla vna Real Orden y Pragmatica del Rey, …</t>
  </si>
  <si>
    <t>Duels</t>
  </si>
  <si>
    <t>Don Francisco Pio de Saboya, Movra Corte Real y Moncada ... Hallandose su Magestad informado de los graves perjuìzios, escandalos y desgracias que han resultado siempre que se han permitido en el Principado de Cathaluña y …</t>
  </si>
  <si>
    <t>Màscares</t>
  </si>
  <si>
    <t>El Rey. Por quanto siendo tan repetidos los embarazos y questiones que cada dia se ofrecen en los puestos de España con los navios y embarcaciones estrangeras …</t>
  </si>
  <si>
    <t>Comerç exterior</t>
  </si>
  <si>
    <t>El Rey. Por quanto de orden del Archiduque se hà publicado en Flandes vn Bando, en que se expressa, que en todos sus puntos se observe el que se expidió en diez y seis de mayo de este año,...</t>
  </si>
  <si>
    <t>Confiscació</t>
  </si>
  <si>
    <t>Pragmatica que Su Magestad ha mandado publicar prohibiendo los desafios con aumento de penas</t>
  </si>
  <si>
    <t>Pragmàtiques sancions</t>
  </si>
  <si>
    <t>Don Francisco Pio de Saboya, Moura, Corte Real ... Aviendose con edicto general, de fecha de seis del mes de noviembre del año passado de 1715, publicado, en execucion de real decreto, y orden de su magestad ... un indulto y un perdon de todos los reos, y delincuentes, que no se hallarian en poder de la justicia al tiempo de su publicacion ...</t>
  </si>
  <si>
    <t>Indult</t>
  </si>
  <si>
    <t>Nueva Planta de la Real Audiencia del Principado de Cathaluña establecida por su Magestad con Decreto de diez y seis de Enero de mil setecientos y diez y seis</t>
  </si>
  <si>
    <t>Nueva Planta de la Real Audiencia del Principado de Cataluña establecida por su Magestad con Decreto de diez y seis de Enero de mil setecientos y diez y seis</t>
  </si>
  <si>
    <t>Capella i Col•legi de Sant Sever</t>
  </si>
  <si>
    <t>Señor. La Confraternidad de San Severo de la ciudad de Barcelona que representa al clero secular inferior de la misma ciudad y diocesi, puesta à los reales pies de v. mag. ... dize: que aunque hasta aora oprimida de las grandes perdidas que…</t>
  </si>
  <si>
    <t>Memorials</t>
  </si>
  <si>
    <t>Béns eclesiàstics</t>
  </si>
  <si>
    <t>Don Francisco Pio de Saboya Movra, Corte Real y Moncada ... Aviendo entendido que en las vezindades de esta Plaza se levantan Casas, que son, ó pueden ser perjudiciales à su defensa y que...</t>
  </si>
  <si>
    <t>Urbanisme</t>
  </si>
  <si>
    <t>Don Francisco Pio de Saboya Movra, Corte-Real y Moncada ... Porque se ha experimentado, que los Comissarios de Barrio, establecidos con tanta vtilidad del Real Servicio y bien publico en esta Ciudad,...</t>
  </si>
  <si>
    <t>Registre civil</t>
  </si>
  <si>
    <t>Don Francisco Pio de Saboya, Movra, Corte Real y Moncada, marqves de Castel-Rodrigo ... Por quanto es razonable, que la nobleza y numerosa Guarnícion de Oficiales que ay, assi en esta Ciudad, …</t>
  </si>
  <si>
    <t>Carnestoltes</t>
  </si>
  <si>
    <t>Pragmatica que su Magestad manda promulgar, dando regla, y estableciendo nueva forma en que desde aora en adelante han de vivir los que se dizen Gitanos y Gitanas</t>
  </si>
  <si>
    <t>Església Catòlica. Nunciatura Apostòlica. Nunci (1716-1717 : Aldrovandi)</t>
  </si>
  <si>
    <t>Nos Don Pompeyo Aldrobandi... arçobispo de Neocessaria... Por las presentes letras, y en virtud de apostolica autoridad à nos concedida, de que queremos usar, y con efecto usamos: Hazemos saber à todos los fieles christianos, naturales, y vezinos de dichos Reynos, y señorios de España, estantes, y habitantes en eloos, à los que aora son, y en adelante fuesen, de qualesquiera grado, sexo, calidad, estado, dignidad, ò preheminencia, sin reservacion, ni limitación alguna; el que aviendo llegado à la noticia de Nuestro Santissimo Padre, y Señor Clemente Papa Undezino... los graves abusos que han introducido muchas personas, que siendo presos de mandato de las justicias, assi por causas civiles, como por criminales, y puestos en las carceles para poder conseguir el salir de ellas, se valen muchas vezes de deducir, y alegar el q[ue] fueron extraidas de las iglesias, ò otros lugares immunes...</t>
  </si>
  <si>
    <t>Cartes pastorals</t>
  </si>
  <si>
    <t>Privilegis eclesiàstics</t>
  </si>
  <si>
    <t>Església Catòlica. Papa (1700-1721 : Climent XI)</t>
  </si>
  <si>
    <t>Admodum reverende domine. Cùm ad aures Sanctissimi Domini Nostri Clementis Papae XI. plurimae pervenerint querelae, fide dignorum testimonio comprobatae, adversùs eos, qui ubi de mandato Iudicum, sive in criminalibus, sive etiam in civilibus capti fuerint...</t>
  </si>
  <si>
    <t>Roma</t>
  </si>
  <si>
    <t>Formula edicti promulgandi $b : cum ad notitiam sanctissimi domini nostri domini Clementis Parae XI delati fuerint graves abusus, à plerisque eorum invecti, qui ubi de mandato iudicum sivè incriminalibus, sivè etiam inciuilibus capti fuerint, &amp; in carceres coniecti, ut indè emittantur, allegare frequentèr solent sese ab ecclesiis, aliisue locis immunibus ...</t>
  </si>
  <si>
    <t>Orden de su Magestad, prescriviendo lo que se ha de observar para las reclutas de gente voluntaria, que ha mandado hazer en las provincias de España para completar los regimientos de infanteria...</t>
  </si>
  <si>
    <t>Edictes reials</t>
  </si>
  <si>
    <t>Reclutament i allistament</t>
  </si>
  <si>
    <t>Orden de su Magestad para recoger, corregir y emplear los vagabundos y otros ociosos; como tambien para ocupar y socorrer à los pobres, incapazes de ganar la vida, en conformidad y observancia de las leyes del Reyno</t>
  </si>
  <si>
    <t>mendicitat</t>
  </si>
  <si>
    <t>Don Francisco Pio de Saboya Movra Corte Real y Moncada ... Noticioso su Magestad ... de la excessiva estimacion con que corren los Dinerillos buenos de cruz de Aragon y tambien los Dineros pequeños de Cathaluña fabricados en tiempo del govierno intruso,..</t>
  </si>
  <si>
    <t>Real cedvla instrvctoria en la qval sv Magestad establece y declara diferentes pvntos al govierno politico y economico de los Regimientos de la ciudad de Barcelona y...</t>
  </si>
  <si>
    <t>Cèdules</t>
  </si>
  <si>
    <t>Municipis</t>
  </si>
  <si>
    <t>Don Francisco Pio de Saboya Movra Corte Real y Moncada ... Aviendo hecho reconocer la experiencia que sirve de vn notable embarazo para el comercio menudo, y particularmente de los comestibles,...</t>
  </si>
  <si>
    <t>Don Francisco Pio de Saboya Movra Corte Real y Moncada ...  Por quanto hemos recibido por la via reservada de Estado vna Real Provision expedida por el Real Consejo de Castilla en que su Magestad se sirve mandar,…</t>
  </si>
  <si>
    <t>Censals</t>
  </si>
  <si>
    <t>D. Framcisco Pio de Saboya Movra Corte Real y Moncada ... Avnqve para precaver, que de este Principado â dominios estrangeros, no se saquen monedas de oro y plata, ni labrada ni en massa, barras ó riells y para efectivamente impedir, …</t>
  </si>
  <si>
    <t>Don Francisco Pio de Saboya Movra Corte Real y Moncada ... Aviendosenos remitido de orden de su Magestad por vía del Consejo Real de Castilla, copia impressa de vn Vando ...</t>
  </si>
  <si>
    <t>Blocatge econòmic</t>
  </si>
  <si>
    <t>Real cedvla de dotacion en la qval sv magestad establece y declara el nvevo reglamento de gastos annuales del cuerpo politico del comun de la ciudad de Barcelona con expression de…</t>
  </si>
  <si>
    <t>Real cedula instructoria en la qual su magestad establece y declara diferentes puntos al govierno politico y economico de los regimientos de la ciudad de Barcelona y...</t>
  </si>
  <si>
    <t>El Rey. Governador y los de mi Consejo de Hazienda: Sabed que la necessidad y repetidas vrgencias del sistema presente de la Monarquia instan à la mas exacta prudente economia en la distribucion de los medios y...</t>
  </si>
  <si>
    <t>Respvesta de vn Ingles desinteressado a vn Wich transportado, sobre el combate naval de la Flota de España con el Almirante Vinchs / traducida de italiano en español.</t>
  </si>
  <si>
    <t>Batalles Navals</t>
  </si>
  <si>
    <t>Respvesta al Manifiesto pvblicado por el Duque de Orleans, para justificar su conducta, tanto sobre el Projecto [sic] que propuso al Rey de España, quanto sobre la Guerra que le ha declarado / traducido en idioma español de el frances.</t>
  </si>
  <si>
    <t>El Rey. Aviendo llegado a mi noticia que de algunos dias a esta parte se insinua mañosamente a los comerciantes franceses que residen en mis dominios, procuren assegurar sus efectos …</t>
  </si>
  <si>
    <t>Estrangers</t>
  </si>
  <si>
    <t>Real cedula instructoria en la qual su magestad establece y declara diferentes puntos al gobierno politico y economico de los regimientos de la ciudad de Barcelona y...</t>
  </si>
  <si>
    <t>Don Francisco Pio de Saboya, Movra Corte Real ... Enterado el Rey nuestro señor ... de que diferentes naturales plebeos de este Principado, por inclinacion â la novedad los vnos, otros por…</t>
  </si>
  <si>
    <t>Exili</t>
  </si>
  <si>
    <t>Edicto qve explica la division y confines de los doze corregimientos del Principado de Cathalvña y disctrito de Valle de Aran con los pvntos tocantes a los salarios de los corregidores y de sus tenientes ó alcaldes mayores en...</t>
  </si>
  <si>
    <t>Explicacion de los motivos que ha tenido el Rey para no admitir el tratado reglado vltimamente entre el Rey Britanico y el Duque de Orleans.</t>
  </si>
  <si>
    <t>Tractats internacionals</t>
  </si>
  <si>
    <t>Explicacion de los motivos que ha tenido el rey para no admitir el tratado reglado vltimamente entre el rey britanico y el duque de Orleans, regente de Francia, en perjuizio de la monarquia de España y del decoro y soberania de su Magestad.</t>
  </si>
  <si>
    <t>Don Francisco Caetano de Aragon, Theniente General de los exercitos de su Magestad ... Haviendo precisado las vltimas turbaciones de este Principado de Cathaluña el real animo de su Magestad (Dios le guarde)…</t>
  </si>
  <si>
    <t>Universitats</t>
  </si>
  <si>
    <t>Don Francisco Caetano de Aragon, Theniente General de los Exercitos de sv Magestad ... Experimentandose, que quantas disposiciones y providencias se han aplicado hasta aora,...</t>
  </si>
  <si>
    <t>Llei marcial</t>
  </si>
  <si>
    <t>Don Francisco Pio de Saboya Movra Corte Real y Moncada ... Por quanto á llegado á la real noticia de su Magestad ... que los mas de los naturales de este Principado, que instados y persuadidos,...</t>
  </si>
  <si>
    <t>La Seu d'Urgell</t>
  </si>
  <si>
    <t>Don Ioseph Carrillo de Albornoz ... Por quanto conviene al govierno politico de la presente ciudad, que sus calles, plazas y puestos publicos esten con toda limpieza y sin inmundicias,...</t>
  </si>
  <si>
    <t>Salut pública</t>
  </si>
  <si>
    <t>Don Francisco Pio de Saboya Movra Corte Real y Moncada ... Inclinado el real animo de su Magestad ... y deseosso de la tranquilidad de el estado turbada hasta aqui con muchos y varios generos de delitos,...</t>
  </si>
  <si>
    <t>Relacion de los servicios con qve el doctor en sagrada theologia Ioseph Pujadas, domero de la ciudad de Manresa ha acreditado su fidelidad.</t>
  </si>
  <si>
    <t>Botiflers</t>
  </si>
  <si>
    <t>Don Phelipe ... Por quanto por mas favorecer y beneficiar à la Universidad de Cervera del mi Principado de Cathaluña ...</t>
  </si>
  <si>
    <t>Universitat de Cervera</t>
  </si>
  <si>
    <t>Don Francisco Pio de Saboya Movra Corte Real y Moncada ... Aviendose experimentado, que con el crecido aumento, que la Francia ha dado a su moneda (cuyo curso, con la misma estimacion extrinseca se ha continuado en la Cerdaña española)...</t>
  </si>
  <si>
    <t>Don Ioseph de Verthamon, del Consejo de su Magestad ... Ministro para lo criminal en esta Real Audiencia y Iuez, nombrado por el Rey, de todos los bienes confiscados y sequestrados de este Principado de Cathaluña.</t>
  </si>
  <si>
    <t>Don Ioseph Carrillo de Albornoz ... Por quanto hemos recibido una Real Cedula de su Magestad, firmada de su real mano, en devida forma despachada su fecha 18 de el corriente, cuyo tenor es como sigue.</t>
  </si>
  <si>
    <t>Don Joseph Carrillo de Albornoz ... Por quanto hemos recibido vna Real Provision despachada por el Consejo Real de Castilla, su fecha en Madrid à treinta de octubre proximo passad o, cuyo tenor es el siguiente ...</t>
  </si>
  <si>
    <t>Provisions</t>
  </si>
  <si>
    <t>Don Joseph Carrillo de Albornoz ... Aviendo hecho ver la experiencia repetidas confusiones y desordenes en el modo practico de alojarse los oficiales militares en las casas de los paísanos…</t>
  </si>
  <si>
    <t>Don Ioseph Carrillo de Albornoz ... Como por hallarse ... libre la Francia del accidente de la peste, que tanto la ha afligido, fuese servido su Magestad ... por Real Cedula, dada en Balsain en 18 de iunio de este presente año y…</t>
  </si>
  <si>
    <t>Don Ioseph Carrillo de Albornoz ... Por quanto sin embargo de diferentes edictos publicados en cinco de octubre, dos dedeziembre del año passado de mil setecientos y catorze, siete y veinte y nueve de agosto de mil setecientos y quinze siguientes,...</t>
  </si>
  <si>
    <t>Establecimiento y ordenanzas para el nvevo regimen y govierno de la tabla de los cambios y comvnes depositos de la civdad de Barcelona qve...</t>
  </si>
  <si>
    <t>Ramillete de varias flores y compendio de los sucessos mas memorables que han acaecido en Europa desde el año de 1700 hasta el de 1722 / que consagra ... D.F.X.G.S. por mano del señor Don Baltasar Patiño …</t>
  </si>
  <si>
    <t>Don Phelipe, por la gracia de Dios rey de Castilla ... Sabed que nuestra real persona se ha servido remitir al nuestro Consejo el Decreto que sigue: Teniendo phohibidos los duelos y satisfacciones privadas ...</t>
  </si>
  <si>
    <t>Votum doctissimorum regiorum senatorum Don Emmanuelis de Toledo, &amp; Don Francisci Bach: Super provisione possessorii summarissimi die 20. martii anni 1724. In causa vertenti in aula Dn Emmanuelis de Toledo, super iurisdictione civili plena villae de Olot, &amp; parochiarum de Sasfonts, &amp; Descolls inter procuratorem fiscalempatrimonialem, &amp; Decurione[s] Ville de Olot contra venerabilem Abbaterm regii Monaterii beatissimae virginis Rivipulli benedictinae claustralis Tarraconensis Congregationis. In actis Ioachimi Ros Notarii</t>
  </si>
  <si>
    <t>Al·legació jurídica</t>
  </si>
  <si>
    <t>Jurisdicció</t>
  </si>
  <si>
    <t>Don Ioseph Carrillo de Albornoz ...Por quanto hemos recibido vna Real Cedula de su Magestad ... su fecha en Madrid à diez y nueve de deziembre proximo passado, cuyo tenor es como sigue ...</t>
  </si>
  <si>
    <t>Bacallar y Sanna, Vicente, marqués de San Felipe, 1669-1726</t>
  </si>
  <si>
    <t>Comentarios de la guerra de España e historia de su Rey Phelipe V. el Animoso, desde el principio de su reynado hasta la paz general del año de 1725.</t>
  </si>
  <si>
    <t>Gènova</t>
  </si>
  <si>
    <t>De foederatorum contra Philippum Quintum hispaniarum rege bello commentaria / auctore Vincentio Baccalario &amp; Sanna…</t>
  </si>
  <si>
    <t>Tratado de paz : ajvstado entre esta corona y el emperador de Alemania.</t>
  </si>
  <si>
    <t>Tractats de pau</t>
  </si>
  <si>
    <t>Comentarios de la guerra de España e historia de su Rey Phelipe V. el Animoso, desde el principio de su reynado hasta el año de 1725...</t>
  </si>
  <si>
    <t>[Avnqve estoy persvadido del singvlar amor y fidelidad que siempre me han tributado todos mis vassallos ...]</t>
  </si>
  <si>
    <t>Estatutos de la Real y Pontificia Universidad de Cervera aprovados por el Rey Felipe V en el año 1726 [Manuscrit]</t>
  </si>
  <si>
    <t>Cervera</t>
  </si>
  <si>
    <t>Estatuts</t>
  </si>
  <si>
    <t>Señor. Los consules del Gremio de Libreros y los impresores de la ciudad de Barcelona y demas de el Principado de Cathaluña ... representan: que instando el Syndico de la Real Vniversidad de la ciudad de Cervera…</t>
  </si>
  <si>
    <t>Pragmatica sancion que su Magestad manda publicar sobre la minoracion de juros.</t>
  </si>
  <si>
    <t>Dumont, Jean, m. 1726</t>
  </si>
  <si>
    <t>Histoire militaire du prince Eugene de Savoye, du prince et duc de Marlborough et du prince de Nassau-Frise : où l'on trouve un détail des principales actions de la dernière guerre &amp; des batailles &amp; sièges commandez par ces trois…</t>
  </si>
  <si>
    <t>L'Haia</t>
  </si>
  <si>
    <t>Església Catòlica. Papa (1730-1740 : Climent XII)</t>
  </si>
  <si>
    <t>Bula confirmando la erección y privilegios concedidos por el Rey Felipe V a la Universidad de Cervera, dada en el año 1730 [Manuscrit]</t>
  </si>
  <si>
    <t>Butlles pontifícies</t>
  </si>
  <si>
    <t>Santa Cruz de Marcenado, Álvaro Navia Osorio, Marqués de, 1684-1732</t>
  </si>
  <si>
    <t>Reflexiones militares</t>
  </si>
  <si>
    <t>Leges publicae scientiarum academiae Cervariae in Cathalonia a Philippo V rege catholico institutae, a Clemente XII pontifice maximo, auctoritate apostolica confirmatae &amp; privilegiis auctae / curante Cornelio Bentivolo …</t>
  </si>
  <si>
    <t>Edicto pvblicado en 22 de Marzo de 1734 para la observancia de los nvevos aranzeles generales que con real provision del Consejo de 4 de Febrero 1734 se han establecido y mandan gvardar por la escrivania principal de govierno y...</t>
  </si>
  <si>
    <t>Impostos locals</t>
  </si>
  <si>
    <t>Broak, Senyor</t>
  </si>
  <si>
    <t>Via fora als adormits y resposta del Sr. Broak, secretari que fou del sieur Mitford Crow al Sr. Vallés son corresponent de Barcelona, sobre las materias politicas presents.</t>
  </si>
  <si>
    <t>Segona resposta,.. de Mr. Broak... à Mr. Valles &amp;c. &amp;c.</t>
  </si>
  <si>
    <t>Edicto publicado en 22 de marzo de 1734 para la observancia de los nuevos aranzeles generales que con real provision del Consejo de 4 de febrero 1734 se han establecido y...</t>
  </si>
  <si>
    <t>Edicto publicado en 22 de marzo de 1734 para la observancia de los nuevos aranceles generales que con real provision del Consejo de 4 de febrero 1734 se han establecido y...</t>
  </si>
  <si>
    <t>Record de la Aliança, fet al Serm. Jordi-Augusto, rey de la Gran-Bretaña, &amp;c. &amp;c., ab una carta del Principat de Cataluña y Ciutat de Barcelona, añ. 1736.</t>
  </si>
  <si>
    <t>Barcelona?</t>
  </si>
  <si>
    <t>Ordenanzas de la Real Audiencia de el Principado de Cathaluña / mandadas imprimir por su magestad.</t>
  </si>
  <si>
    <t>Copia de la real cedula expedida por el rey nuestro señor Don Phelipe Qvinto ... a los 16 de Marzo de 1743 a instancia de los capitanes de las cofadrias de la fidelissima ciudad de Cervera.</t>
  </si>
  <si>
    <t>Soldats</t>
  </si>
  <si>
    <t>[Don Phelipe ... A todos los corregidores, assistente, governadores ... Ya sabeis que por los del nuestro Consejo ...]</t>
  </si>
  <si>
    <t>Catalunya. Capitán General</t>
  </si>
  <si>
    <t>D. Pedro de Bargas Maldonado, Marques de Campo-Fuerte... Por quanto se nos ha presentado por el Syndico de la Real, y pontificia Universidad de Cervera ... el privilegio privativo perpetuo de una Imprenta…</t>
  </si>
  <si>
    <t>Don Pedro de Bargas Maldonado ... marques de Campo-Fuerte ... Por quanto se nos ha presentado por el Syndico de la ... Universidad de Cervera una Real Provision del Consejo de doce de agosto proximo passado, con la qual en virtud del Real Decreto…</t>
  </si>
  <si>
    <t>Estatutos originales de la Real Universidad de Cervera concedidos por el rey Nro. Señor Dn. Fernando VI, año 1749 Manuscrit]</t>
  </si>
  <si>
    <t>Estatutos y privilegios apostolicos y reales de la Vniuersidad y Estudio General de Cervera.</t>
  </si>
  <si>
    <t>Universitat de Cervera.</t>
  </si>
  <si>
    <t>Confirmación de los Estatutos de la Real y Pontificia Universidad de Cervera por el Rey Carlos III, en el año 1762 [Manuscrit]</t>
  </si>
  <si>
    <t>López Pacheco, Mercurio Antonio</t>
  </si>
  <si>
    <t>Don Mercvrio Antonio Lopez Pacheco, Acvña, Giron y Portocarrero, conde de San Estevan de Gormàz, Gentil Hombre de Camara de su Magestad, primer Teniente de la segunda Compañia de sus Reales Guardias de Corps…</t>
  </si>
  <si>
    <t>Real Provision del supremo Consejo de Castilla por la qual se declaran la subsistencia y prerrogativas del Estudio literario de esta ciudad de Tarragona, como parte y ramo del Generàl de la Universidad de Cervera.</t>
  </si>
  <si>
    <t>Tarragona</t>
  </si>
  <si>
    <t>Llibre de òbits religiosos……..i altres coses succeides a Bna. Des de juny de 1691  fins a 5 de maig de 1775.    fol. 64 recte (¿????)</t>
  </si>
  <si>
    <t>Nueva Planta de la Real Audiencia del Principado de Cataluña establecida por su Magestad, con Decreto de diez y seis de Enero de mil setecientos y diez y seis.</t>
  </si>
  <si>
    <t>Berard, Serapi</t>
  </si>
  <si>
    <t>Manifestacion en que se publican muchos y relevantes servicios y nobles hechos con que ha servido á sus señores reyes la excelentísima ciudad de Barcelona, singularmente en el sitio horroroso que acaba de padecer en el presente año de 1697.</t>
  </si>
  <si>
    <t>Breve descripcion, de las festivas demonstraciones, que los inclitos comvnes, y nobles</t>
  </si>
  <si>
    <t>[1701 o post.]</t>
  </si>
  <si>
    <t>Relacions de sucessos</t>
  </si>
  <si>
    <t>Festes</t>
  </si>
  <si>
    <t>Adsumus Domine, Sancte Spiritus, adsumus peccati immanitate detenti; sed in Nomine tuo congregati...</t>
  </si>
  <si>
    <t>[171-?]]</t>
  </si>
  <si>
    <t>Pregàries</t>
  </si>
  <si>
    <t>Cervera (Catalunya). Ajuntament</t>
  </si>
  <si>
    <t>Señor. La Ciudad de Cervera puesta à los Reales pies de V. Mag. con el mayor rendimiento, dize: Que en atención a la fidelidad que à V. Mag. debe, como à su legitimo Rey, y Señor, en el año de 1704 aviendo recibido por el correo una carta del Príncipe Jorge de Armestad, en que pretendia persuadirle que reconociesse otro dueño, la remitió luego al Virrey, y Capitan General del Principado, ofreciendose para quanto conduxesse al mayor servicio de V, Mag. y pocos dias despues ratificó lo mismo con expresso que despachò al dicho Virrey, con ocasion del arribo de la Armada Naval enemiga a la vista de la Playa de Barcelona...</t>
  </si>
  <si>
    <t>[1713 o post]</t>
  </si>
  <si>
    <t>[Cervera?]</t>
  </si>
  <si>
    <t>Privilegis i immunitats</t>
  </si>
  <si>
    <t>Don Francisco Pio de Saboya Movra, Corte Real y Moncada ... Aviendose experimentado el año passado que muchos y diferentes patrones de ganguiles, estrangeros de los dominios del Rey, han venido à estos mares y puertos de Cathaluña à pescar y hazer con ellos sus crecidas ganancias y negociacion, sin pagar ninguna contribucion ...</t>
  </si>
  <si>
    <t>[1716?]</t>
  </si>
  <si>
    <t>Feriados de la Real Audiencia de Cathaluña, segun la nueva Planta establecida por su Magestad, con Real Decreto de 16. de Enero de 1716</t>
  </si>
  <si>
    <t>Don Francisco Pio de Saboya, Moura... Como las providencias que hasta aora se han dado, no ay an sido bastantes, para contener varios abusos que por la mala intencion con que algunos individuos... Por tanto, ha parecido, insiguiendo la conclusion hecha en 11 del corriente mes de Março, en la Real Iunta Superior de Iusticia, y Govierno deste Principado, disponerles en virtud deste nuesto Edito, en la forma siguie[n]te. Primerament, porque la experiencia ha enseñado, que no obstante que el Señor Principe Tserclaes y de Tilly, en el tiempo de su Govierno, con el infalible fundamento de ser nulas todas las gracias, títulos de mercedes, honores, grados y demàs gratificaciones pertenecientes á gra[n]dezas...</t>
  </si>
  <si>
    <t>Títols nobiliaris</t>
  </si>
  <si>
    <t>Don Phelipe, por la gracia de Dios, Rey de Castilla ... Don Antonio del Valle, cavallero del Orden de Calatrava... Haviendose su Magestad servido resolver, y mandar con el Real Decreto de la Nueva Planta de fecha de diez y seys de Enero de mil setecientos diez y seys en el Capítulo 45. de que este Principado menos en las Ciudades, y Villas destinadas para Cabeças de Corregimiento haya Regidores por el término de un año...</t>
  </si>
  <si>
    <t>[1719?]</t>
  </si>
  <si>
    <t>Administració pública</t>
  </si>
  <si>
    <t>Catalunya. Superintendente General (1716-1717, 1720-1724 : Pedrajas)</t>
  </si>
  <si>
    <t>Don Ioseph Pedrajas... Deven à la piedad del Rey...</t>
  </si>
  <si>
    <t>[1720?</t>
  </si>
  <si>
    <t>Legal evidencia por el Real Fisco de la superintendencia general deste Principado, y el Capitan Simon Bregante contra Nicolás Piaggio de nación ginovès reo detenido en las Reales Cárceles desta Ciudad, sobre el pleyto criminal de hurto... escrivano Geronymo Sastre y Rovira Not.</t>
  </si>
  <si>
    <t>[1721 o post.]</t>
  </si>
  <si>
    <t>Al·legació (Dret)</t>
  </si>
  <si>
    <t>Sentencia criminal publicada en 24 Enero 1722 en el Tribunal, y iuzgado de la Superintendencia General del Principado, y Exercito de Cataluña con acuerdo, y parecer del Señor Dotor Don Ioseph Francisco de Alòs y Rius... a favor del procurador, y agente fiscal, y del capitan Simon Bregante contra Nicolàs Piaggio, de nacion genoves. Escrivano Geronimo Sastre</t>
  </si>
  <si>
    <t>[1722 o post.]</t>
  </si>
  <si>
    <t>Sentència</t>
  </si>
  <si>
    <t>Barcelona (Catalunya). Ajuntament</t>
  </si>
  <si>
    <t>La ciudad de Barcelona, cabeza del Principado de Cataluña, puesta con el mayor rendimiento à los Reales pies de V. Mag. Dize, que aviendo sido V. Mag. servido de expedir su Real Decreto convocatorio de Junta de Cortes para prestar el Juramento à su Alteza el Serenissimo Principe Don Fernando, la Ciudad propensa siempre con su mas reverente desvelo à el Real servicio de V. Mag. nombrò sus Procuradores, y Comissarios para la celebracion de acto tan plausible, y en que como Real Metropoli del Principado de Cataluña, en su nombre explicasse el reconocimiento debido de su antigua fidelidad a sus Principes, y obediencia à los soberanos preceptos de V. Mag. y aviendo llegado à esta Corte, è informadose (por ser la primera vez que logra la Ciudad esta honra) del lugar que avia de ocupar en esta Junta de Reynos, han entendido no aver de tener su assiento immediato à la Ciudad de Zaragoza, y preferente à la de Valencia...</t>
  </si>
  <si>
    <t>[1725?]</t>
  </si>
  <si>
    <t>[Barcelona?]</t>
  </si>
  <si>
    <t>Ferran VI, rei d'Espanya, 1713-1759,</t>
  </si>
  <si>
    <t>Francesch Camprubí-Pere Mártir Anglés</t>
  </si>
  <si>
    <t>Lumen Domus o Annals del convent de Santa Caterina de Barcelona</t>
  </si>
  <si>
    <t>[Entre 1603 i 1802]</t>
  </si>
  <si>
    <t>Papeles varios, manuscritos e impresos, relativos a asuntos de gobierno de Cataluña durante el primer cuarto del siglo XVIII, coleccionados por los destinatarios de muchos de ellos D. Francisco y D. Joseph Ameller, magistrados, Volum V [Manuscrit]</t>
  </si>
  <si>
    <t>[Entre 1655 i 1768]</t>
  </si>
  <si>
    <t>Papeles varios, manuscritos e impresos, relativos a asuntos de gobierno de Cataluña durante el primer cuarto del siglo XVIII, coleccionados por los destinatarios de muchos de ellos D. Francisco y D. Joseph Ameller, magistrados, Volum I [Manuscrit]</t>
  </si>
  <si>
    <t>[Entre 1658 i 1725]</t>
  </si>
  <si>
    <t>Papeles varios, manuscritos e impresos, relativos a asuntos de gobierno de Cataluña durante el primer cuarto del siglo XVIII, coleccionados por los destinatarios de muchos de ellos D. Francisco y D. Joseph Ameller, magistrados, Volum III [Manuscrit]</t>
  </si>
  <si>
    <t>[Entre 1700 i 1726]</t>
  </si>
  <si>
    <t>Papeles varios, manuscritos e impresos, relativos a asuntos de gobierno de Cataluña durante el primer cuarto del siglo XVIII, coleccionados por los destinatarios de muchos de ellos D. Francisco y D. Joseph Ameller, magistrados, Volum VI [Manuscrit]</t>
  </si>
  <si>
    <t>[Entre 1713 i 1726]</t>
  </si>
  <si>
    <t>Papeles varios, manuscritos e impresos, relativos a asuntos de gobierno de Cataluña durante el primer cuarto del siglo XVIII, coleccionados por los destinatarios de muchos de ellos D. Francisco y D. Joseph Ameller, magistrados, Volum II [Manuscrit]</t>
  </si>
  <si>
    <t>[Entre 1713 i 1733]</t>
  </si>
  <si>
    <t>Papeles varios, manuscritos e impresos, relativos a asuntos de gobierno de Cataluña durante el primer cuarto del siglo XVIII, coleccionados por los destinatarios de muchos de ellos D. Francisco y D. Joseph Ameller, magistrados, Volum IV [Manuscrit]</t>
  </si>
  <si>
    <t>[Entre 1727 i 1733]</t>
  </si>
  <si>
    <t>Agustins. Prior (Barcelona, Catalunya)</t>
  </si>
  <si>
    <t>Señor. El Prior y religiosos agustinos calzados de el convento de Barcelona, puestos a los pies de V. Mag., con el mas respectuoso rendimiento dicen ...</t>
  </si>
  <si>
    <t>[post. a 1728]</t>
  </si>
  <si>
    <t>[[Barcelona?]</t>
  </si>
  <si>
    <t>Instància</t>
  </si>
  <si>
    <t>Convents</t>
  </si>
  <si>
    <t>[Piezas en prosa y en verso, sobre la historia de Cataluña en los siglos XVII y XVIII]</t>
  </si>
  <si>
    <t>Segle XVIII</t>
  </si>
  <si>
    <t>Sàtira política</t>
  </si>
  <si>
    <t>[Registre dels prohomes elegits per a el regiment de la ciutat de Barcelona]</t>
  </si>
  <si>
    <t>(veure ff. 128-129: Carta del duc de Pópulo a D. Bartolomé Crespi, amb resposta)</t>
  </si>
  <si>
    <t>Comines, Pere</t>
  </si>
  <si>
    <t>Pedro Comines: Relación diaria de lo sucedido en el ataque y defensa de la ciudad de Barcelona, en Junio de 1697.</t>
  </si>
  <si>
    <t>Bolló, Josep</t>
  </si>
  <si>
    <t>Miscel.lània científica</t>
  </si>
  <si>
    <t>(veure f. 122v i ff. 134v-135)</t>
  </si>
  <si>
    <t>)</t>
  </si>
  <si>
    <t>Memoriales impresos y manuscritos O.P. sobre dependencias de Indias...</t>
  </si>
  <si>
    <t>Segle XVIII-1a meitat</t>
  </si>
  <si>
    <t>07 Ms 1014</t>
  </si>
  <si>
    <t>(veure nota manuscrita f. 1)</t>
  </si>
  <si>
    <t>[Miscel·lània política]</t>
  </si>
  <si>
    <t>(veure ff. 10-37)</t>
  </si>
  <si>
    <t>Varios papeles curiosos que se dieron al público en el reinado de [Felipe V]</t>
  </si>
  <si>
    <t>Segle XVIII-principis</t>
  </si>
  <si>
    <t>Catalunya?</t>
  </si>
  <si>
    <t>(veure especialment ff. 57-69)</t>
  </si>
  <si>
    <t>Soler, Manuel, O.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</si>
</sst>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0"/>
      <name val="Arial"/>
      <family val="2"/>
    </font>
    <font>
      <sz val="8"/>
      <name val="Arial"/>
      <family val="2"/>
    </font>
    <font>
      <sz val="14"/>
      <name val="Arial"/>
      <family val="2"/>
    </font>
    <font>
      <b/>
      <sz val="16"/>
      <color indexed="8"/>
      <name val="Arial"/>
      <family val="2"/>
    </font>
    <font>
      <u/>
      <sz val="10"/>
      <color theme="10"/>
      <name val="Arial"/>
      <family val="2"/>
    </font>
  </fonts>
  <fills count="12">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7"/>
        <bgColor indexed="9"/>
      </patternFill>
    </fill>
    <fill>
      <patternFill patternType="solid">
        <fgColor indexed="9"/>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0" fillId="7" borderId="1" xfId="0" applyFill="1" applyBorder="1" applyAlignment="1">
      <alignment wrapText="1"/>
    </xf>
    <xf numFmtId="0" fontId="1" fillId="7" borderId="1" xfId="0" applyFont="1" applyFill="1" applyBorder="1" applyAlignment="1">
      <alignment wrapText="1"/>
    </xf>
    <xf numFmtId="0" fontId="1" fillId="7" borderId="1" xfId="0" applyFont="1" applyFill="1" applyBorder="1" applyAlignment="1"/>
    <xf numFmtId="0" fontId="1" fillId="7" borderId="1" xfId="0" applyFont="1" applyFill="1" applyBorder="1" applyAlignment="1">
      <alignment vertical="center" wrapText="1"/>
    </xf>
    <xf numFmtId="0" fontId="0" fillId="7" borderId="1" xfId="0" applyFill="1" applyBorder="1"/>
    <xf numFmtId="0" fontId="5" fillId="7" borderId="1" xfId="1" applyFill="1" applyBorder="1" applyAlignment="1">
      <alignment wrapText="1"/>
    </xf>
    <xf numFmtId="0" fontId="0" fillId="7" borderId="1" xfId="0" applyFont="1" applyFill="1" applyBorder="1" applyAlignment="1">
      <alignment wrapText="1"/>
    </xf>
    <xf numFmtId="0" fontId="1" fillId="2" borderId="1" xfId="0" applyFont="1" applyFill="1" applyBorder="1" applyAlignment="1"/>
    <xf numFmtId="0" fontId="0" fillId="2" borderId="1" xfId="0" applyFill="1" applyBorder="1"/>
    <xf numFmtId="0" fontId="0" fillId="2" borderId="1" xfId="0" applyFill="1" applyBorder="1" applyAlignment="1">
      <alignment wrapText="1"/>
    </xf>
    <xf numFmtId="0" fontId="0" fillId="7" borderId="0" xfId="0" applyFill="1" applyBorder="1" applyAlignment="1"/>
    <xf numFmtId="0" fontId="4" fillId="7" borderId="0" xfId="0" applyFont="1" applyFill="1" applyBorder="1" applyAlignment="1">
      <alignment vertical="center"/>
    </xf>
    <xf numFmtId="0" fontId="0" fillId="2" borderId="0" xfId="0" applyFill="1" applyBorder="1"/>
    <xf numFmtId="0" fontId="0" fillId="10" borderId="0" xfId="0" applyFill="1" applyBorder="1"/>
    <xf numFmtId="0" fontId="0" fillId="0" borderId="0" xfId="0" applyBorder="1"/>
    <xf numFmtId="0" fontId="3" fillId="3" borderId="0" xfId="0" applyFont="1" applyFill="1" applyBorder="1" applyAlignment="1">
      <alignment wrapText="1"/>
    </xf>
    <xf numFmtId="0" fontId="3" fillId="2" borderId="0" xfId="0" applyFont="1" applyFill="1" applyBorder="1" applyAlignment="1">
      <alignment wrapText="1"/>
    </xf>
    <xf numFmtId="0" fontId="3" fillId="6" borderId="0" xfId="0" applyFont="1" applyFill="1" applyBorder="1" applyAlignment="1">
      <alignment wrapText="1"/>
    </xf>
    <xf numFmtId="0" fontId="3" fillId="8" borderId="0" xfId="0" applyFont="1" applyFill="1" applyBorder="1" applyAlignment="1">
      <alignment wrapText="1"/>
    </xf>
    <xf numFmtId="0" fontId="0" fillId="2" borderId="0" xfId="0" applyFill="1" applyBorder="1" applyAlignment="1">
      <alignment wrapText="1"/>
    </xf>
    <xf numFmtId="0" fontId="0" fillId="10" borderId="0" xfId="0" applyFill="1" applyBorder="1" applyAlignment="1">
      <alignment wrapText="1"/>
    </xf>
    <xf numFmtId="0" fontId="0" fillId="0" borderId="0" xfId="0" applyBorder="1" applyAlignment="1">
      <alignment wrapText="1"/>
    </xf>
    <xf numFmtId="0" fontId="1" fillId="2" borderId="1" xfId="0" applyFont="1" applyFill="1" applyBorder="1" applyAlignment="1">
      <alignment wrapText="1"/>
    </xf>
    <xf numFmtId="0" fontId="3" fillId="4" borderId="0" xfId="0" applyFont="1" applyFill="1" applyBorder="1" applyAlignment="1">
      <alignment wrapText="1"/>
    </xf>
    <xf numFmtId="0" fontId="3" fillId="5" borderId="0" xfId="0" applyFont="1" applyFill="1" applyBorder="1" applyAlignment="1">
      <alignment wrapText="1"/>
    </xf>
    <xf numFmtId="0" fontId="3" fillId="11" borderId="0" xfId="0" applyFont="1" applyFill="1" applyBorder="1" applyAlignment="1">
      <alignment wrapText="1"/>
    </xf>
    <xf numFmtId="0" fontId="3" fillId="7" borderId="0" xfId="0" applyFont="1" applyFill="1" applyBorder="1" applyAlignment="1">
      <alignment wrapText="1"/>
    </xf>
    <xf numFmtId="0" fontId="1" fillId="9" borderId="1" xfId="0" applyFont="1" applyFill="1" applyBorder="1" applyAlignment="1">
      <alignment wrapText="1"/>
    </xf>
    <xf numFmtId="0" fontId="1" fillId="9" borderId="1" xfId="0" applyFont="1" applyFill="1" applyBorder="1" applyAlignment="1">
      <alignment horizontal="left" wrapText="1"/>
    </xf>
  </cellXfs>
  <cellStyles count="2">
    <cellStyle name="Enllaç"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123266</xdr:rowOff>
    </xdr:from>
    <xdr:to>
      <xdr:col>0</xdr:col>
      <xdr:colOff>1781735</xdr:colOff>
      <xdr:row>0</xdr:row>
      <xdr:rowOff>1217175</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266"/>
          <a:ext cx="1781735" cy="1093909"/>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13" Type="http://schemas.openxmlformats.org/officeDocument/2006/relationships/hyperlink" Target="https://cataleg.ub.edu/search~S1*cat?/aAgustins.+Prior+%28Barcelona%2C+Catalunya%29/aagustins+prior+barcelona+catalunya/-3,-1,0,B/browse" TargetMode="External"/><Relationship Id="rId18" Type="http://schemas.openxmlformats.org/officeDocument/2006/relationships/hyperlink" Target="https://cataleg.ub.edu/search~S1*cat?/aBarcelona+%28Catalunya%29.+Junta+d%7bu2019%7dAdministradors+provisionals/abarcelona+catalunya+junta+dadministradors+provisionals/-3,-1,0,B/browse" TargetMode="External"/><Relationship Id="rId3"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21" Type="http://schemas.openxmlformats.org/officeDocument/2006/relationships/hyperlink" Target="https://cataleg.ub.edu/search~S1*cat?/aBarcelona+%28Catalunya%29.+Junta+d%7bu2019%7dAdministradors+provisionals/abarcelona+catalunya+junta+dadministradors+provisionals/-3,-1,0,B/browse" TargetMode="External"/><Relationship Id="rId7"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12" Type="http://schemas.openxmlformats.org/officeDocument/2006/relationships/hyperlink" Target="https://cataleg.ub.edu/search~S1*cat?/aEspanya.+Monarca+%281713-1746+%3A+Felip+V%29/aespanya+monarca+++++1713+++++1746+felip+v/-3,-1,0,B/browse" TargetMode="External"/><Relationship Id="rId17" Type="http://schemas.openxmlformats.org/officeDocument/2006/relationships/hyperlink" Target="https://cataleg.ub.edu/search~S1*cat?/aBarcelona+%28Catalunya%29.+Junta+d%7bu2019%7dAdministradors+provisionals/abarcelona+catalunya+junta+dadministradors+provisionals/-3,-1,0,B/browse" TargetMode="External"/><Relationship Id="rId2"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16" Type="http://schemas.openxmlformats.org/officeDocument/2006/relationships/hyperlink" Target="https://cataleg.ub.edu/search~S1*cat?/aBarcelona+%28Catalunya%29.+Junta+d%7bu2019%7dAdministradors+provisionals/abarcelona+catalunya+junta+dadministradors+provisionals/-3,-1,0,B/browse" TargetMode="External"/><Relationship Id="rId20" Type="http://schemas.openxmlformats.org/officeDocument/2006/relationships/hyperlink" Target="https://cataleg.ub.edu/search~S1*cat?/aCervera+%28Catalunya%29.+Ajuntament/acervera+catalunya+ajuntament/-3,-1,0,B/browse" TargetMode="External"/><Relationship Id="rId1"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6"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11" Type="http://schemas.openxmlformats.org/officeDocument/2006/relationships/hyperlink" Target="https://cataleg.ub.edu/search~S1*cat?/aEsgl%7bu00E9%7dsia+Cat%7bu00F2%7dlica.+Papa+%281700-1721+%3A+Climent+XI%29/aesglesia+catolica+papa+++++1700+++++1721+climent+xi/-3,-1,0,B/browse" TargetMode="External"/><Relationship Id="rId5"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15" Type="http://schemas.openxmlformats.org/officeDocument/2006/relationships/hyperlink" Target="https://cataleg.ub.edu/search~S1*cat?/aBarcelona+%28Catalunya%29.+Junta+d%7bu2019%7dAdministradors+provisionals/abarcelona+catalunya+junta+dadministradors+provisionals/-3,-1,0,B/browse" TargetMode="External"/><Relationship Id="rId23" Type="http://schemas.openxmlformats.org/officeDocument/2006/relationships/drawing" Target="../drawings/drawing1.xml"/><Relationship Id="rId10" Type="http://schemas.openxmlformats.org/officeDocument/2006/relationships/hyperlink" Target="https://cataleg.ub.edu/search~S1*cat?/aEsgl%7bu00E9%7dsia+Cat%7bu00F2%7dlica.+Papa+%281700-1721+%3A+Climent+XI%29/aesglesia+catolica+papa+++++1700+++++1721+climent+xi/-3,-1,0,B/browse" TargetMode="External"/><Relationship Id="rId19" Type="http://schemas.openxmlformats.org/officeDocument/2006/relationships/hyperlink" Target="https://cataleg.ub.edu/search~S1*cat?/aBarcelona+%28Catalunya%29.+Junta+d%7bu2019%7dAdministradors+provisionals/abarcelona+catalunya+junta+dadministradors+provisionals/-3,-1,0,B/browse" TargetMode="External"/><Relationship Id="rId4" Type="http://schemas.openxmlformats.org/officeDocument/2006/relationships/hyperlink" Target="https://cataleg.ub.edu/search~S1*cat?/aEspanya.+Capit%7bu00E0%7d+General+de+Catalunya+%281715-1722+%3A+Pio+di+Savoia+e+Moura+Corte-Real%29/aespanya+capita+general+de+catalunya+++++1715+++++1722+pio+di+savoia+e+moura+corte+real/-3,-1,0,B/browse" TargetMode="External"/><Relationship Id="rId9" Type="http://schemas.openxmlformats.org/officeDocument/2006/relationships/hyperlink" Target="https://cataleg.ub.edu/search~S1*cat?/aEsgl%7bu00E9%7dsia+Cat%7bu00F2%7dlica.+Nunciatura+Apost%7bu00F2%7dlica.+Nunci+%281716-1717+%3A+Aldrovandi%29/aesglesia+catolica+nunciatura+apostolica+nunci+++++1716+++++1717+aldrovandi/-3,-1,0,B/browse" TargetMode="External"/><Relationship Id="rId14" Type="http://schemas.openxmlformats.org/officeDocument/2006/relationships/hyperlink" Target="https://cataleg.ub.edu/search~S1*cat?/aBarcelona+%28Catalunya%29.+Ajuntament/abarcelona+catalunya+ajuntament/-3,-1,0,B/browse"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90"/>
  <sheetViews>
    <sheetView tabSelected="1" zoomScale="85" zoomScaleNormal="85" workbookViewId="0">
      <pane ySplit="2" topLeftCell="A117" activePane="bottomLeft" state="frozen"/>
      <selection pane="bottomLeft" activeCell="E122" sqref="E122"/>
    </sheetView>
  </sheetViews>
  <sheetFormatPr defaultColWidth="14.42578125" defaultRowHeight="12.75" x14ac:dyDescent="0.2"/>
  <cols>
    <col min="1" max="1" width="27" style="15" customWidth="1"/>
    <col min="2" max="2" width="74.140625" style="22" customWidth="1"/>
    <col min="3" max="3" width="10.140625" style="22" customWidth="1"/>
    <col min="4" max="4" width="13" style="22" customWidth="1"/>
    <col min="5" max="5" width="16.85546875" style="22" customWidth="1"/>
    <col min="6" max="6" width="23" style="15" customWidth="1"/>
    <col min="7" max="7" width="20.140625" style="22" customWidth="1"/>
    <col min="8" max="8" width="23.7109375" style="22" customWidth="1"/>
    <col min="9" max="11" width="14.42578125" style="13"/>
    <col min="12" max="57" width="14.42578125" style="14"/>
    <col min="58" max="16384" width="14.42578125" style="15"/>
  </cols>
  <sheetData>
    <row r="1" spans="1:57" ht="102.75" customHeight="1" x14ac:dyDescent="0.2">
      <c r="A1" s="11"/>
      <c r="B1" s="12" t="s">
        <v>0</v>
      </c>
      <c r="C1" s="11"/>
      <c r="D1" s="11"/>
      <c r="E1" s="11"/>
      <c r="F1" s="11"/>
      <c r="G1" s="11"/>
      <c r="H1" s="11"/>
    </row>
    <row r="2" spans="1:57" s="20" customFormat="1" ht="18" x14ac:dyDescent="0.25">
      <c r="A2" s="16" t="s">
        <v>1</v>
      </c>
      <c r="B2" s="17" t="s">
        <v>2</v>
      </c>
      <c r="C2" s="24" t="s">
        <v>3</v>
      </c>
      <c r="D2" s="25" t="s">
        <v>4</v>
      </c>
      <c r="E2" s="26" t="s">
        <v>5</v>
      </c>
      <c r="F2" s="18" t="s">
        <v>6</v>
      </c>
      <c r="G2" s="19" t="s">
        <v>7</v>
      </c>
      <c r="H2" s="27" t="s">
        <v>8</v>
      </c>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row>
    <row r="3" spans="1:57" s="13" customFormat="1" x14ac:dyDescent="0.2">
      <c r="A3" s="1"/>
      <c r="B3" s="2" t="s">
        <v>9</v>
      </c>
      <c r="C3" s="2">
        <v>1695</v>
      </c>
      <c r="D3" s="2" t="s">
        <v>10</v>
      </c>
      <c r="E3" s="6" t="str">
        <f>HYPERLINK("https://csuc-ub.primo.exlibrisgroup.com/permalink/34CSUC_UB/1eiigjf/alma991010332019706708","07 Ms 940")</f>
        <v>07 Ms 940</v>
      </c>
      <c r="F3" s="3" t="s">
        <v>11</v>
      </c>
      <c r="G3" s="2" t="s">
        <v>12</v>
      </c>
      <c r="H3" s="2" t="s">
        <v>13</v>
      </c>
      <c r="I3" s="8" t="s">
        <v>14</v>
      </c>
      <c r="J3" s="8" t="s">
        <v>15</v>
      </c>
      <c r="K3" s="9"/>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row>
    <row r="4" spans="1:57" s="13" customFormat="1" ht="25.5" x14ac:dyDescent="0.2">
      <c r="A4" s="1"/>
      <c r="B4" s="2" t="s">
        <v>16</v>
      </c>
      <c r="C4" s="2">
        <v>1697</v>
      </c>
      <c r="D4" s="2" t="s">
        <v>17</v>
      </c>
      <c r="E4" s="6" t="str">
        <f>HYPERLINK("https://csuc-ub.primo.exlibrisgroup.com/permalink/34CSUC_UB/1eiigjf/alma991002834389706708","07 A-Et-XVII-Anònim.1394")</f>
        <v>07 A-Et-XVII-Anònim.1394</v>
      </c>
      <c r="F4" s="3" t="s">
        <v>18</v>
      </c>
      <c r="G4" s="2" t="s">
        <v>19</v>
      </c>
      <c r="H4" s="2" t="s">
        <v>13</v>
      </c>
      <c r="I4" s="8"/>
      <c r="J4" s="8"/>
      <c r="K4" s="9"/>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1:57" s="13" customFormat="1" ht="38.25" x14ac:dyDescent="0.2">
      <c r="A5" s="2" t="s">
        <v>20</v>
      </c>
      <c r="B5" s="2" t="s">
        <v>21</v>
      </c>
      <c r="C5" s="2">
        <v>1698</v>
      </c>
      <c r="D5" s="2" t="s">
        <v>22</v>
      </c>
      <c r="E5" s="6" t="str">
        <f>HYPERLINK("https://cercabib.ub.edu/permalink/34CSUC_UB/1eiigjf/alma991001721459706708","07 B-41/2/24-16")</f>
        <v>07 B-41/2/24-16</v>
      </c>
      <c r="F5" s="3" t="s">
        <v>23</v>
      </c>
      <c r="G5" s="2" t="s">
        <v>24</v>
      </c>
      <c r="H5" s="2" t="s">
        <v>13</v>
      </c>
      <c r="I5" s="8" t="s">
        <v>14</v>
      </c>
      <c r="J5" s="8" t="s">
        <v>14</v>
      </c>
      <c r="K5" s="9"/>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1:57" s="13" customFormat="1" ht="51" x14ac:dyDescent="0.2">
      <c r="A6" s="2" t="s">
        <v>25</v>
      </c>
      <c r="B6" s="2" t="s">
        <v>26</v>
      </c>
      <c r="C6" s="1">
        <v>1698</v>
      </c>
      <c r="D6" s="2" t="s">
        <v>22</v>
      </c>
      <c r="E6" s="6" t="str">
        <f>HYPERLINK("https://cercabib.ub.edu/permalink/34CSUC_UB/1eiigjf/alma991010368199706708","07 Ms 1970 Imp 1")</f>
        <v>07 Ms 1970 Imp 1</v>
      </c>
      <c r="F6" s="1" t="s">
        <v>27</v>
      </c>
      <c r="G6" s="2" t="s">
        <v>24</v>
      </c>
      <c r="H6" s="2" t="s">
        <v>28</v>
      </c>
      <c r="I6" s="9"/>
      <c r="J6" s="9"/>
      <c r="K6" s="9"/>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row>
    <row r="7" spans="1:57" s="13" customFormat="1" ht="25.5" x14ac:dyDescent="0.2">
      <c r="A7" s="2" t="s">
        <v>29</v>
      </c>
      <c r="B7" s="2" t="s">
        <v>30</v>
      </c>
      <c r="C7" s="2">
        <v>1698</v>
      </c>
      <c r="D7" s="2" t="s">
        <v>17</v>
      </c>
      <c r="E7" s="6" t="str">
        <f>HYPERLINK("https://cercabib.ub.edu/permalink/34CSUC_UB/1eiigjf/alma991002800559706708","07 Z-Et-XVII-Anònim.1393")</f>
        <v>07 Z-Et-XVII-Anònim.1393</v>
      </c>
      <c r="F7" s="3" t="s">
        <v>18</v>
      </c>
      <c r="G7" s="2" t="s">
        <v>19</v>
      </c>
      <c r="H7" s="2" t="s">
        <v>13</v>
      </c>
      <c r="I7" s="8"/>
      <c r="J7" s="8"/>
      <c r="K7" s="9"/>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57" s="13" customFormat="1" ht="25.5" x14ac:dyDescent="0.2">
      <c r="A8" s="1"/>
      <c r="B8" s="2" t="s">
        <v>31</v>
      </c>
      <c r="C8" s="2">
        <v>1700</v>
      </c>
      <c r="D8" s="2" t="s">
        <v>32</v>
      </c>
      <c r="E8" s="6" t="str">
        <f>HYPERLINK("https://cercabib.ub.edu/permalink/34CSUC_UB/1eiigjf/alma991008960709706708","07 99/2/62")</f>
        <v>07 99/2/62</v>
      </c>
      <c r="F8" s="3" t="s">
        <v>33</v>
      </c>
      <c r="G8" s="2" t="s">
        <v>24</v>
      </c>
      <c r="H8" s="2" t="s">
        <v>34</v>
      </c>
      <c r="I8" s="9"/>
      <c r="J8" s="9"/>
      <c r="K8" s="9"/>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s="13" customFormat="1" ht="38.25" x14ac:dyDescent="0.2">
      <c r="A9" s="2" t="s">
        <v>34</v>
      </c>
      <c r="B9" s="2" t="s">
        <v>35</v>
      </c>
      <c r="C9" s="2">
        <v>1700</v>
      </c>
      <c r="D9" s="2" t="s">
        <v>22</v>
      </c>
      <c r="E9" s="6" t="str">
        <f>HYPERLINK("https://cercabib.ub.edu/permalink/34CSUC_UB/1eiigjf/alma991001707869706708","07 B-45/2/3-23")</f>
        <v>07 B-45/2/3-23</v>
      </c>
      <c r="F9" s="3" t="s">
        <v>36</v>
      </c>
      <c r="G9" s="2" t="s">
        <v>24</v>
      </c>
      <c r="H9" s="2" t="s">
        <v>34</v>
      </c>
      <c r="I9" s="9"/>
      <c r="J9" s="9"/>
      <c r="K9" s="9"/>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s="13" customFormat="1" x14ac:dyDescent="0.2">
      <c r="A10" s="1"/>
      <c r="B10" s="2" t="s">
        <v>37</v>
      </c>
      <c r="C10" s="2">
        <v>1700</v>
      </c>
      <c r="D10" s="2" t="s">
        <v>22</v>
      </c>
      <c r="E10" s="6" t="str">
        <f>HYPERLINK("https://cercabib.ub.edu/permalink/34CSUC_UB/1eiigjf/alma991001722689706708","07 B-45/3/22-16")</f>
        <v>07 B-45/3/22-16</v>
      </c>
      <c r="F10" s="3" t="s">
        <v>33</v>
      </c>
      <c r="G10" s="2" t="s">
        <v>24</v>
      </c>
      <c r="H10" s="2" t="s">
        <v>28</v>
      </c>
      <c r="I10" s="9"/>
      <c r="J10" s="9"/>
      <c r="K10" s="9"/>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s="13" customFormat="1" ht="38.25" x14ac:dyDescent="0.2">
      <c r="A11" s="2" t="s">
        <v>38</v>
      </c>
      <c r="B11" s="2" t="s">
        <v>39</v>
      </c>
      <c r="C11" s="2">
        <v>1701</v>
      </c>
      <c r="D11" s="2" t="s">
        <v>22</v>
      </c>
      <c r="E11" s="6" t="str">
        <f>HYPERLINK("https://cercabib.ub.edu/permalink/34CSUC_UB/1eiigjf/alma991002100639706708","07 B-41/3/34")</f>
        <v>07 B-41/3/34</v>
      </c>
      <c r="F11" s="3" t="s">
        <v>11</v>
      </c>
      <c r="G11" s="2" t="s">
        <v>24</v>
      </c>
      <c r="H11" s="2" t="s">
        <v>34</v>
      </c>
      <c r="I11" s="9"/>
      <c r="J11" s="9"/>
      <c r="K11" s="9"/>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s="13" customFormat="1" ht="38.25" x14ac:dyDescent="0.2">
      <c r="A12" s="1"/>
      <c r="B12" s="4" t="s">
        <v>40</v>
      </c>
      <c r="C12" s="2">
        <v>1701</v>
      </c>
      <c r="D12" s="2" t="s">
        <v>22</v>
      </c>
      <c r="E12" s="6" t="str">
        <f>HYPERLINK("https://cercabib.ub.edu/permalink/34CSUC_UB/1eiigjf/alma991001706089706708","07 B-45/2/2-10")</f>
        <v>07 B-45/2/2-10</v>
      </c>
      <c r="F12" s="3" t="s">
        <v>41</v>
      </c>
      <c r="G12" s="2" t="s">
        <v>24</v>
      </c>
      <c r="H12" s="2" t="s">
        <v>42</v>
      </c>
      <c r="I12" s="9"/>
      <c r="J12" s="9"/>
      <c r="K12" s="9"/>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s="13" customFormat="1" ht="25.5" x14ac:dyDescent="0.2">
      <c r="A13" s="1"/>
      <c r="B13" s="2" t="s">
        <v>43</v>
      </c>
      <c r="C13" s="2">
        <v>1701</v>
      </c>
      <c r="D13" s="2" t="s">
        <v>22</v>
      </c>
      <c r="E13" s="6" t="str">
        <f>HYPERLINK("https://cercabib.ub.edu/permalink/34CSUC_UB/1eiigjf/alma991001702059706708","07 B-65/5/17-14")</f>
        <v>07 B-65/5/17-14</v>
      </c>
      <c r="F13" s="3" t="s">
        <v>44</v>
      </c>
      <c r="G13" s="2" t="s">
        <v>24</v>
      </c>
      <c r="H13" s="2" t="s">
        <v>42</v>
      </c>
      <c r="I13" s="9"/>
      <c r="J13" s="9"/>
      <c r="K13" s="9"/>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row>
    <row r="14" spans="1:57" s="13" customFormat="1" ht="38.25" x14ac:dyDescent="0.2">
      <c r="A14" s="1"/>
      <c r="B14" s="2" t="s">
        <v>45</v>
      </c>
      <c r="C14" s="2">
        <v>1704</v>
      </c>
      <c r="D14" s="2" t="s">
        <v>46</v>
      </c>
      <c r="E14" s="6" t="str">
        <f>HYPERLINK("https://csuc-ub.primo.exlibrisgroup.com/permalink/34CSUC_UB/1eiigjf/alma991002760199706708","07 A-Es-XVIII-Anònim-270")</f>
        <v>07 A-Es-XVIII-Anònim-270</v>
      </c>
      <c r="F14" s="3" t="s">
        <v>18</v>
      </c>
      <c r="G14" s="2" t="s">
        <v>19</v>
      </c>
      <c r="H14" s="2" t="s">
        <v>47</v>
      </c>
      <c r="I14" s="9"/>
      <c r="J14" s="9"/>
      <c r="K14" s="9"/>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row>
    <row r="15" spans="1:57" s="13" customFormat="1" ht="38.25" x14ac:dyDescent="0.2">
      <c r="A15" s="2" t="s">
        <v>48</v>
      </c>
      <c r="B15" s="2" t="s">
        <v>49</v>
      </c>
      <c r="C15" s="2">
        <v>1704</v>
      </c>
      <c r="D15" s="2" t="s">
        <v>22</v>
      </c>
      <c r="E15" s="6" t="str">
        <f>HYPERLINK("https://csuc-ub.primo.exlibrisgroup.com/permalink/34CSUC_UB/1eiigjf/alma991002069479706708","07 B-38/2/2-4")</f>
        <v>07 B-38/2/2-4</v>
      </c>
      <c r="F15" s="3" t="s">
        <v>50</v>
      </c>
      <c r="G15" s="2" t="s">
        <v>24</v>
      </c>
      <c r="H15" s="2" t="s">
        <v>47</v>
      </c>
      <c r="I15" s="9"/>
      <c r="J15" s="9"/>
      <c r="K15" s="9"/>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row>
    <row r="16" spans="1:57" s="13" customFormat="1" ht="25.5" x14ac:dyDescent="0.2">
      <c r="A16" s="1"/>
      <c r="B16" s="2" t="s">
        <v>51</v>
      </c>
      <c r="C16" s="2">
        <v>1704</v>
      </c>
      <c r="D16" s="2" t="s">
        <v>46</v>
      </c>
      <c r="E16" s="6" t="str">
        <f>HYPERLINK("https://csuc-ub.primo.exlibrisgroup.com/permalink/34CSUC_UB/1eiigjf/alma991001691379706708","07 B-65/5/7-45")</f>
        <v>07 B-65/5/7-45</v>
      </c>
      <c r="F16" s="3" t="s">
        <v>23</v>
      </c>
      <c r="G16" s="2" t="s">
        <v>24</v>
      </c>
      <c r="H16" s="2" t="s">
        <v>47</v>
      </c>
      <c r="I16" s="8"/>
      <c r="J16" s="9"/>
      <c r="K16" s="9"/>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row>
    <row r="17" spans="1:57" s="13" customFormat="1" ht="25.5" x14ac:dyDescent="0.2">
      <c r="A17" s="2" t="s">
        <v>52</v>
      </c>
      <c r="B17" s="2" t="s">
        <v>53</v>
      </c>
      <c r="C17" s="2">
        <v>1704</v>
      </c>
      <c r="D17" s="2" t="s">
        <v>17</v>
      </c>
      <c r="E17" s="6" t="str">
        <f>HYPERLINK("https://csuc-ub.primo.exlibrisgroup.com/permalink/34CSUC_UB/1eiigjf/alma991001967469706708","07 B-73/4/32-5")</f>
        <v>07 B-73/4/32-5</v>
      </c>
      <c r="F17" s="3" t="s">
        <v>50</v>
      </c>
      <c r="G17" s="2" t="s">
        <v>24</v>
      </c>
      <c r="H17" s="2" t="s">
        <v>47</v>
      </c>
      <c r="I17" s="9"/>
      <c r="J17" s="9"/>
      <c r="K17" s="9"/>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row>
    <row r="18" spans="1:57" s="13" customFormat="1" ht="25.5" x14ac:dyDescent="0.2">
      <c r="A18" s="1" t="s">
        <v>54</v>
      </c>
      <c r="B18" s="1" t="s">
        <v>55</v>
      </c>
      <c r="C18" s="1">
        <v>1704</v>
      </c>
      <c r="D18" s="1" t="s">
        <v>46</v>
      </c>
      <c r="E18" s="6" t="str">
        <f>HYPERLINK("https://csuc-ub.primo.exlibrisgroup.com/permalink/34CSUC_UB/1eiigjf/alma991003104309706708","07 C-211/1/9")</f>
        <v>07 C-211/1/9</v>
      </c>
      <c r="F18" s="5" t="s">
        <v>56</v>
      </c>
      <c r="G18" s="1" t="s">
        <v>24</v>
      </c>
      <c r="H18" s="1" t="s">
        <v>42</v>
      </c>
      <c r="I18" s="9"/>
      <c r="J18" s="9"/>
      <c r="K18" s="9"/>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row>
    <row r="19" spans="1:57" s="13" customFormat="1" ht="38.25" x14ac:dyDescent="0.2">
      <c r="A19" s="1"/>
      <c r="B19" s="2" t="s">
        <v>57</v>
      </c>
      <c r="C19" s="2">
        <v>1705</v>
      </c>
      <c r="D19" s="2" t="s">
        <v>22</v>
      </c>
      <c r="E19" s="6" t="str">
        <f>HYPERLINK("https://csuc-ub.primo.exlibrisgroup.com/permalink/34CSUC_UB/1eiigjf/alma991001720809706708","07 B-45/3/21-2")</f>
        <v>07 B-45/3/21-2</v>
      </c>
      <c r="F19" s="3" t="s">
        <v>23</v>
      </c>
      <c r="G19" s="2" t="s">
        <v>24</v>
      </c>
      <c r="H19" s="2" t="s">
        <v>13</v>
      </c>
      <c r="I19" s="8"/>
      <c r="J19" s="8"/>
      <c r="K19" s="9"/>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1:57" s="13" customFormat="1" ht="38.25" x14ac:dyDescent="0.2">
      <c r="A20" s="1"/>
      <c r="B20" s="2" t="s">
        <v>58</v>
      </c>
      <c r="C20" s="2">
        <v>1705</v>
      </c>
      <c r="D20" s="2" t="s">
        <v>22</v>
      </c>
      <c r="E20" s="6" t="str">
        <f>HYPERLINK("https://csuc-ub.primo.exlibrisgroup.com/permalink/34CSUC_UB/1eiigjf/alma991001721749706708","07 B-45/3/22-5")</f>
        <v>07 B-45/3/22-5</v>
      </c>
      <c r="F20" s="3" t="s">
        <v>23</v>
      </c>
      <c r="G20" s="2" t="s">
        <v>24</v>
      </c>
      <c r="H20" s="2" t="s">
        <v>13</v>
      </c>
      <c r="I20" s="8"/>
      <c r="J20" s="8"/>
      <c r="K20" s="9"/>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row>
    <row r="21" spans="1:57" s="13" customFormat="1" ht="38.25" x14ac:dyDescent="0.2">
      <c r="A21" s="2" t="s">
        <v>59</v>
      </c>
      <c r="B21" s="2" t="s">
        <v>60</v>
      </c>
      <c r="C21" s="2">
        <v>1705</v>
      </c>
      <c r="D21" s="2" t="s">
        <v>22</v>
      </c>
      <c r="E21" s="6" t="str">
        <f>HYPERLINK("https://csuc-ub.primo.exlibrisgroup.com/permalink/34CSUC_UB/1eiigjf/alma991001849769706708","07 C-240/1/3-10")</f>
        <v>07 C-240/1/3-10</v>
      </c>
      <c r="F21" s="5"/>
      <c r="G21" s="2" t="s">
        <v>24</v>
      </c>
      <c r="H21" s="2" t="s">
        <v>47</v>
      </c>
      <c r="I21" s="9"/>
      <c r="J21" s="9"/>
      <c r="K21" s="9"/>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row>
    <row r="22" spans="1:57" s="13" customFormat="1" ht="38.25" x14ac:dyDescent="0.2">
      <c r="A22" s="2" t="s">
        <v>61</v>
      </c>
      <c r="B22" s="2" t="s">
        <v>62</v>
      </c>
      <c r="C22" s="2">
        <v>1705</v>
      </c>
      <c r="D22" s="2" t="s">
        <v>22</v>
      </c>
      <c r="E22" s="6" t="str">
        <f>HYPERLINK("https://csuc-ub.primo.exlibrisgroup.com/permalink/34CSUC_UB/1eiigjf/alma991001849719706708","07 C-240/1/3-9")</f>
        <v>07 C-240/1/3-9</v>
      </c>
      <c r="F22" s="3" t="s">
        <v>63</v>
      </c>
      <c r="G22" s="2" t="s">
        <v>24</v>
      </c>
      <c r="H22" s="2" t="s">
        <v>47</v>
      </c>
      <c r="I22" s="8"/>
      <c r="J22" s="9"/>
      <c r="K22" s="9"/>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row>
    <row r="23" spans="1:57" s="13" customFormat="1" ht="38.25" x14ac:dyDescent="0.2">
      <c r="A23" s="2" t="s">
        <v>64</v>
      </c>
      <c r="B23" s="2" t="s">
        <v>65</v>
      </c>
      <c r="C23" s="2">
        <v>1705</v>
      </c>
      <c r="D23" s="2" t="s">
        <v>66</v>
      </c>
      <c r="E23" s="6" t="str">
        <f>HYPERLINK("https://csuc-ub.primo.exlibrisgroup.com/permalink/34CSUC_UB/1eiigjf/alma991001649729706708","07 C-250/5/7")</f>
        <v>07 C-250/5/7</v>
      </c>
      <c r="F23" s="5"/>
      <c r="G23" s="2" t="s">
        <v>24</v>
      </c>
      <c r="H23" s="2" t="s">
        <v>47</v>
      </c>
      <c r="I23" s="9"/>
      <c r="J23" s="9"/>
      <c r="K23" s="9"/>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row>
    <row r="24" spans="1:57" s="13" customFormat="1" ht="38.25" x14ac:dyDescent="0.2">
      <c r="A24" s="2" t="s">
        <v>67</v>
      </c>
      <c r="B24" s="2" t="s">
        <v>68</v>
      </c>
      <c r="C24" s="2">
        <v>1705</v>
      </c>
      <c r="D24" s="2" t="s">
        <v>22</v>
      </c>
      <c r="E24" s="6" t="str">
        <f>HYPERLINK("https://csuc-ub.primo.exlibrisgroup.com/permalink/34CSUC_UB/1eiigjf/alma991003226609706708","07 Ms 1007 Imp 4")</f>
        <v>07 Ms 1007 Imp 4</v>
      </c>
      <c r="F24" s="3" t="s">
        <v>69</v>
      </c>
      <c r="G24" s="2" t="s">
        <v>24</v>
      </c>
      <c r="H24" s="2" t="s">
        <v>70</v>
      </c>
      <c r="I24" s="9"/>
      <c r="J24" s="9"/>
      <c r="K24" s="9"/>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row>
    <row r="25" spans="1:57" s="13" customFormat="1" ht="38.25" x14ac:dyDescent="0.2">
      <c r="A25" s="2" t="s">
        <v>61</v>
      </c>
      <c r="B25" s="2" t="s">
        <v>71</v>
      </c>
      <c r="C25" s="2">
        <v>1705</v>
      </c>
      <c r="D25" s="2" t="s">
        <v>22</v>
      </c>
      <c r="E25" s="6" t="str">
        <f>HYPERLINK("https://csuc-ub.primo.exlibrisgroup.com/permalink/34CSUC_UB/1eiigjf/alma991003226649706708","07 Ms 1007 Imp 5")</f>
        <v>07 Ms 1007 Imp 5</v>
      </c>
      <c r="F25" s="3" t="s">
        <v>63</v>
      </c>
      <c r="G25" s="2" t="s">
        <v>24</v>
      </c>
      <c r="H25" s="2" t="s">
        <v>47</v>
      </c>
      <c r="I25" s="8"/>
      <c r="J25" s="9"/>
      <c r="K25" s="9"/>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row>
    <row r="26" spans="1:57" s="13" customFormat="1" ht="38.25" x14ac:dyDescent="0.2">
      <c r="A26" s="2" t="s">
        <v>67</v>
      </c>
      <c r="B26" s="2" t="s">
        <v>72</v>
      </c>
      <c r="C26" s="2">
        <v>1705</v>
      </c>
      <c r="D26" s="2" t="s">
        <v>22</v>
      </c>
      <c r="E26" s="6" t="str">
        <f>HYPERLINK("https://csuc-ub.primo.exlibrisgroup.com/permalink/34CSUC_UB/1eiigjf/alma991003226759706708","07 Ms 1007 Imp 6")</f>
        <v>07 Ms 1007 Imp 6</v>
      </c>
      <c r="F26" s="3" t="s">
        <v>69</v>
      </c>
      <c r="G26" s="2" t="s">
        <v>24</v>
      </c>
      <c r="H26" s="2" t="s">
        <v>73</v>
      </c>
      <c r="I26" s="9"/>
      <c r="J26" s="9"/>
      <c r="K26" s="9"/>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row>
    <row r="27" spans="1:57" s="13" customFormat="1" ht="38.25" x14ac:dyDescent="0.2">
      <c r="A27" s="2" t="s">
        <v>74</v>
      </c>
      <c r="B27" s="2" t="s">
        <v>75</v>
      </c>
      <c r="C27" s="2">
        <v>1705</v>
      </c>
      <c r="D27" s="2" t="s">
        <v>76</v>
      </c>
      <c r="E27" s="6" t="str">
        <f>HYPERLINK("https://csuc-ub.primo.exlibrisgroup.com/permalink/34CSUC_UB/1eiigjf/alma991003164779706708","07 XVIII-8101")</f>
        <v>07 XVIII-8101</v>
      </c>
      <c r="F27" s="5"/>
      <c r="G27" s="2" t="s">
        <v>24</v>
      </c>
      <c r="H27" s="2" t="s">
        <v>28</v>
      </c>
      <c r="I27" s="9"/>
      <c r="J27" s="9"/>
      <c r="K27" s="9"/>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row>
    <row r="28" spans="1:57" s="13" customFormat="1" ht="38.25" x14ac:dyDescent="0.2">
      <c r="A28" s="2" t="s">
        <v>77</v>
      </c>
      <c r="B28" s="2" t="s">
        <v>78</v>
      </c>
      <c r="C28" s="2">
        <v>1706</v>
      </c>
      <c r="D28" s="2" t="s">
        <v>79</v>
      </c>
      <c r="E28" s="6" t="str">
        <f>HYPERLINK("https://csuc-ub.primo.exlibrisgroup.com/permalink/34CSUC_UB/1eiigjf/alma991001980679706708","07 B-39/6/1-9")</f>
        <v>07 B-39/6/1-9</v>
      </c>
      <c r="F28" s="3" t="s">
        <v>80</v>
      </c>
      <c r="G28" s="2" t="s">
        <v>24</v>
      </c>
      <c r="H28" s="2" t="s">
        <v>42</v>
      </c>
      <c r="I28" s="9"/>
      <c r="J28" s="9"/>
      <c r="K28" s="9"/>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row>
    <row r="29" spans="1:57" s="13" customFormat="1" ht="38.25" x14ac:dyDescent="0.2">
      <c r="A29" s="1"/>
      <c r="B29" s="2" t="s">
        <v>81</v>
      </c>
      <c r="C29" s="2">
        <v>1706</v>
      </c>
      <c r="D29" s="2" t="s">
        <v>22</v>
      </c>
      <c r="E29" s="6" t="str">
        <f>HYPERLINK("https://cercabib.ub.edu/permalink/34CSUC_UB/18sfiok/alma991001758119706708","07 B-45/2/3-31")</f>
        <v>07 B-45/2/3-31</v>
      </c>
      <c r="F29" s="3" t="s">
        <v>23</v>
      </c>
      <c r="G29" s="2" t="s">
        <v>24</v>
      </c>
      <c r="H29" s="2" t="s">
        <v>47</v>
      </c>
      <c r="I29" s="9"/>
      <c r="J29" s="9"/>
      <c r="K29" s="9"/>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row>
    <row r="30" spans="1:57" s="13" customFormat="1" ht="38.25" x14ac:dyDescent="0.2">
      <c r="A30" s="1"/>
      <c r="B30" s="2" t="s">
        <v>82</v>
      </c>
      <c r="C30" s="2">
        <v>1706</v>
      </c>
      <c r="D30" s="2" t="s">
        <v>22</v>
      </c>
      <c r="E30" s="6" t="str">
        <f>HYPERLINK("https://cercabib.ub.edu/permalink/34CSUC_UB/18sfiok/alma991001722119706708","07 B-45/3/22-12")</f>
        <v>07 B-45/3/22-12</v>
      </c>
      <c r="F30" s="3" t="s">
        <v>33</v>
      </c>
      <c r="G30" s="2" t="s">
        <v>24</v>
      </c>
      <c r="H30" s="2" t="s">
        <v>28</v>
      </c>
      <c r="I30" s="9"/>
      <c r="J30" s="9"/>
      <c r="K30" s="9"/>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row>
    <row r="31" spans="1:57" s="13" customFormat="1" ht="38.25" x14ac:dyDescent="0.2">
      <c r="A31" s="1"/>
      <c r="B31" s="2" t="s">
        <v>83</v>
      </c>
      <c r="C31" s="2">
        <v>1706</v>
      </c>
      <c r="D31" s="2" t="s">
        <v>22</v>
      </c>
      <c r="E31" s="6" t="str">
        <f>HYPERLINK("https://cercabib.ub.edu/permalink/34CSUC_UB/18sfiok/alma991001721419706708","07 B-45/3/22-3")</f>
        <v>07 B-45/3/22-3</v>
      </c>
      <c r="F31" s="3" t="s">
        <v>23</v>
      </c>
      <c r="G31" s="2" t="s">
        <v>24</v>
      </c>
      <c r="H31" s="2" t="s">
        <v>47</v>
      </c>
      <c r="I31" s="8"/>
      <c r="J31" s="9"/>
      <c r="K31" s="9"/>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row>
    <row r="32" spans="1:57" s="13" customFormat="1" ht="25.5" x14ac:dyDescent="0.2">
      <c r="A32" s="2" t="s">
        <v>84</v>
      </c>
      <c r="B32" s="2" t="s">
        <v>85</v>
      </c>
      <c r="C32" s="2">
        <v>1706</v>
      </c>
      <c r="D32" s="2" t="s">
        <v>22</v>
      </c>
      <c r="E32" s="6" t="str">
        <f>HYPERLINK("https://csuc-ub.primo.exlibrisgroup.com/permalink/34CSUC_UB/1eiigjf/alma991001830749706708","07 B-55/1/17")</f>
        <v>07 B-55/1/17</v>
      </c>
      <c r="F32" s="3" t="s">
        <v>69</v>
      </c>
      <c r="G32" s="2" t="s">
        <v>24</v>
      </c>
      <c r="H32" s="2" t="s">
        <v>86</v>
      </c>
      <c r="I32" s="9"/>
      <c r="J32" s="9"/>
      <c r="K32" s="9"/>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row>
    <row r="33" spans="1:57" s="13" customFormat="1" ht="38.25" x14ac:dyDescent="0.2">
      <c r="A33" s="1"/>
      <c r="B33" s="2" t="s">
        <v>87</v>
      </c>
      <c r="C33" s="2">
        <v>1706</v>
      </c>
      <c r="D33" s="2" t="s">
        <v>22</v>
      </c>
      <c r="E33" s="6" t="str">
        <f>HYPERLINK("https://csuc-ub.primo.exlibrisgroup.com/permalink/34CSUC_UB/1eiigjf/alma991008657909706708","07 B-55/4/3-1")</f>
        <v>07 B-55/4/3-1</v>
      </c>
      <c r="F33" s="3" t="s">
        <v>23</v>
      </c>
      <c r="G33" s="2" t="s">
        <v>24</v>
      </c>
      <c r="H33" s="2" t="s">
        <v>47</v>
      </c>
      <c r="I33" s="9"/>
      <c r="J33" s="9"/>
      <c r="K33" s="9"/>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row>
    <row r="34" spans="1:57" s="13" customFormat="1" ht="25.5" x14ac:dyDescent="0.2">
      <c r="A34" s="1"/>
      <c r="B34" s="2" t="s">
        <v>88</v>
      </c>
      <c r="C34" s="2">
        <v>1706</v>
      </c>
      <c r="D34" s="2" t="s">
        <v>22</v>
      </c>
      <c r="E34" s="6" t="str">
        <f>HYPERLINK("https://csuc-ub.primo.exlibrisgroup.com/permalink/34CSUC_UB/1eiigjf/alma991008659929706708","07 B-55/4/3-3")</f>
        <v>07 B-55/4/3-3</v>
      </c>
      <c r="F34" s="3" t="s">
        <v>23</v>
      </c>
      <c r="G34" s="2" t="s">
        <v>24</v>
      </c>
      <c r="H34" s="2" t="s">
        <v>89</v>
      </c>
      <c r="I34" s="8"/>
      <c r="J34" s="9"/>
      <c r="K34" s="9"/>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row>
    <row r="35" spans="1:57" s="13" customFormat="1" x14ac:dyDescent="0.2">
      <c r="A35" s="1"/>
      <c r="B35" s="2" t="s">
        <v>90</v>
      </c>
      <c r="C35" s="2">
        <v>1706</v>
      </c>
      <c r="D35" s="2" t="s">
        <v>22</v>
      </c>
      <c r="E35" s="6" t="str">
        <f>HYPERLINK("https://csuc-ub.primo.exlibrisgroup.com/permalink/34CSUC_UB/1eiigjf/alma991003279299706708","07 B-65/4/1-27-31")</f>
        <v>07 B-65/4/1-27-31</v>
      </c>
      <c r="F35" s="3" t="s">
        <v>91</v>
      </c>
      <c r="G35" s="2" t="s">
        <v>24</v>
      </c>
      <c r="H35" s="2" t="s">
        <v>13</v>
      </c>
      <c r="I35" s="8"/>
      <c r="J35" s="8"/>
      <c r="K35" s="9"/>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row>
    <row r="36" spans="1:57" s="13" customFormat="1" ht="38.25" x14ac:dyDescent="0.2">
      <c r="A36" s="1"/>
      <c r="B36" s="2" t="s">
        <v>92</v>
      </c>
      <c r="C36" s="2">
        <v>1706</v>
      </c>
      <c r="D36" s="2" t="s">
        <v>22</v>
      </c>
      <c r="E36" s="6" t="str">
        <f>HYPERLINK("https://csuc-ub.primo.exlibrisgroup.com/permalink/34CSUC_UB/1eiigjf/alma991001681809706708","07 B-65/4/3-10")</f>
        <v>07 B-65/4/3-10</v>
      </c>
      <c r="F36" s="3" t="s">
        <v>23</v>
      </c>
      <c r="G36" s="2" t="s">
        <v>24</v>
      </c>
      <c r="H36" s="2" t="s">
        <v>93</v>
      </c>
      <c r="I36" s="8"/>
      <c r="J36" s="9"/>
      <c r="K36" s="9"/>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row>
    <row r="37" spans="1:57" s="13" customFormat="1" ht="51" x14ac:dyDescent="0.2">
      <c r="A37" s="1"/>
      <c r="B37" s="2" t="s">
        <v>94</v>
      </c>
      <c r="C37" s="2">
        <v>1706</v>
      </c>
      <c r="D37" s="2" t="s">
        <v>22</v>
      </c>
      <c r="E37" s="6" t="str">
        <f>HYPERLINK("https://csuc-ub.primo.exlibrisgroup.com/permalink/34CSUC_UB/1eiigjf/alma991001681859706708","07 B-65/4/3-11")</f>
        <v>07 B-65/4/3-11</v>
      </c>
      <c r="F37" s="3" t="s">
        <v>95</v>
      </c>
      <c r="G37" s="2" t="s">
        <v>24</v>
      </c>
      <c r="H37" s="2" t="s">
        <v>93</v>
      </c>
      <c r="I37" s="9"/>
      <c r="J37" s="9"/>
      <c r="K37" s="9"/>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row>
    <row r="38" spans="1:57" s="13" customFormat="1" ht="51" x14ac:dyDescent="0.2">
      <c r="A38" s="1"/>
      <c r="B38" s="2" t="s">
        <v>96</v>
      </c>
      <c r="C38" s="2">
        <v>1706</v>
      </c>
      <c r="D38" s="2" t="s">
        <v>22</v>
      </c>
      <c r="E38" s="6" t="str">
        <f>HYPERLINK("https://csuc-ub.primo.exlibrisgroup.com/permalink/34CSUC_UB/1eiigjf/alma991002007699706708","07 B-65/4/3-12")</f>
        <v>07 B-65/4/3-12</v>
      </c>
      <c r="F38" s="3" t="s">
        <v>23</v>
      </c>
      <c r="G38" s="2" t="s">
        <v>24</v>
      </c>
      <c r="H38" s="2" t="s">
        <v>13</v>
      </c>
      <c r="I38" s="8"/>
      <c r="J38" s="8"/>
      <c r="K38" s="9"/>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row>
    <row r="39" spans="1:57" s="13" customFormat="1" ht="38.25" x14ac:dyDescent="0.2">
      <c r="A39" s="1"/>
      <c r="B39" s="2" t="s">
        <v>97</v>
      </c>
      <c r="C39" s="2">
        <v>1706</v>
      </c>
      <c r="D39" s="2" t="s">
        <v>22</v>
      </c>
      <c r="E39" s="6" t="str">
        <f>HYPERLINK("https://csuc-ub.primo.exlibrisgroup.com/permalink/34CSUC_UB/1eiigjf/alma991001681929706708","07 B-65/4/3-14")</f>
        <v>07 B-65/4/3-14</v>
      </c>
      <c r="F39" s="3" t="s">
        <v>98</v>
      </c>
      <c r="G39" s="2" t="s">
        <v>24</v>
      </c>
      <c r="H39" s="2" t="s">
        <v>47</v>
      </c>
      <c r="I39" s="9"/>
      <c r="J39" s="9"/>
      <c r="K39" s="9"/>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1:57" s="13" customFormat="1" ht="38.25" x14ac:dyDescent="0.2">
      <c r="A40" s="2" t="s">
        <v>61</v>
      </c>
      <c r="B40" s="2" t="s">
        <v>99</v>
      </c>
      <c r="C40" s="2">
        <v>1706</v>
      </c>
      <c r="D40" s="2" t="s">
        <v>22</v>
      </c>
      <c r="E40" s="6" t="str">
        <f>HYPERLINK("https://csuc-ub.primo.exlibrisgroup.com/permalink/34CSUC_UB/1eiigjf/alma991001681969706708","07 B-65/4/3-15")</f>
        <v>07 B-65/4/3-15</v>
      </c>
      <c r="F40" s="3" t="s">
        <v>50</v>
      </c>
      <c r="G40" s="2" t="s">
        <v>24</v>
      </c>
      <c r="H40" s="2" t="s">
        <v>47</v>
      </c>
      <c r="I40" s="9"/>
      <c r="J40" s="9"/>
      <c r="K40" s="9"/>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57" s="13" customFormat="1" ht="38.25" x14ac:dyDescent="0.2">
      <c r="A41" s="2" t="s">
        <v>61</v>
      </c>
      <c r="B41" s="2" t="s">
        <v>100</v>
      </c>
      <c r="C41" s="2">
        <v>1706</v>
      </c>
      <c r="D41" s="2" t="s">
        <v>22</v>
      </c>
      <c r="E41" s="6" t="str">
        <f>HYPERLINK("https://csuc-ub.primo.exlibrisgroup.com/permalink/34CSUC_UB/1eiigjf/alma991001682019706708","07 B-65/4/3-16")</f>
        <v>07 B-65/4/3-16</v>
      </c>
      <c r="F41" s="3" t="s">
        <v>50</v>
      </c>
      <c r="G41" s="2" t="s">
        <v>24</v>
      </c>
      <c r="H41" s="2" t="s">
        <v>47</v>
      </c>
      <c r="I41" s="9"/>
      <c r="J41" s="9"/>
      <c r="K41" s="9"/>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1:57" s="13" customFormat="1" ht="38.25" x14ac:dyDescent="0.2">
      <c r="A42" s="2" t="s">
        <v>61</v>
      </c>
      <c r="B42" s="2" t="s">
        <v>101</v>
      </c>
      <c r="C42" s="2">
        <v>1706</v>
      </c>
      <c r="D42" s="2" t="s">
        <v>22</v>
      </c>
      <c r="E42" s="6" t="str">
        <f>HYPERLINK("https://csuc-ub.primo.exlibrisgroup.com/permalink/34CSUC_UB/1eiigjf/alma991001682089706708","07 B-65/4/3-18")</f>
        <v>07 B-65/4/3-18</v>
      </c>
      <c r="F42" s="3" t="s">
        <v>102</v>
      </c>
      <c r="G42" s="2" t="s">
        <v>24</v>
      </c>
      <c r="H42" s="2" t="s">
        <v>47</v>
      </c>
      <c r="I42" s="9"/>
      <c r="J42" s="9"/>
      <c r="K42" s="9"/>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1:57" s="13" customFormat="1" ht="38.25" x14ac:dyDescent="0.2">
      <c r="A43" s="28" t="s">
        <v>103</v>
      </c>
      <c r="B43" s="2" t="s">
        <v>104</v>
      </c>
      <c r="C43" s="2">
        <v>1706</v>
      </c>
      <c r="D43" s="2" t="s">
        <v>22</v>
      </c>
      <c r="E43" s="6" t="str">
        <f>HYPERLINK("https://csuc-ub.primo.exlibrisgroup.com/permalink/34CSUC_UB/1eiigjf/alma991001681429706708","07 B-65/4/3-2")</f>
        <v>07 B-65/4/3-2</v>
      </c>
      <c r="F43" s="3" t="s">
        <v>50</v>
      </c>
      <c r="G43" s="2" t="s">
        <v>24</v>
      </c>
      <c r="H43" s="2" t="s">
        <v>47</v>
      </c>
      <c r="I43" s="9"/>
      <c r="J43" s="9"/>
      <c r="K43" s="9"/>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row>
    <row r="44" spans="1:57" s="13" customFormat="1" ht="38.25" x14ac:dyDescent="0.2">
      <c r="A44" s="2" t="s">
        <v>61</v>
      </c>
      <c r="B44" s="2" t="s">
        <v>105</v>
      </c>
      <c r="C44" s="2">
        <v>1706</v>
      </c>
      <c r="D44" s="2" t="s">
        <v>106</v>
      </c>
      <c r="E44" s="6" t="str">
        <f>HYPERLINK("https://csuc-ub.primo.exlibrisgroup.com/permalink/34CSUC_UB/1eiigjf/alma991001721939706708","07 B-65/4/3-20")</f>
        <v>07 B-65/4/3-20</v>
      </c>
      <c r="F44" s="3" t="s">
        <v>107</v>
      </c>
      <c r="G44" s="2" t="s">
        <v>24</v>
      </c>
      <c r="H44" s="2" t="s">
        <v>47</v>
      </c>
      <c r="I44" s="9"/>
      <c r="J44" s="9"/>
      <c r="K44" s="9"/>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row>
    <row r="45" spans="1:57" s="13" customFormat="1" ht="38.25" x14ac:dyDescent="0.2">
      <c r="A45" s="1"/>
      <c r="B45" s="2" t="s">
        <v>108</v>
      </c>
      <c r="C45" s="2">
        <v>1706</v>
      </c>
      <c r="D45" s="2" t="s">
        <v>22</v>
      </c>
      <c r="E45" s="6" t="str">
        <f>HYPERLINK("https://csuc-ub.primo.exlibrisgroup.com/permalink/34CSUC_UB/1eiigjf/alma991001682129706708","07 B-65/4/3-21")</f>
        <v>07 B-65/4/3-21</v>
      </c>
      <c r="F45" s="3" t="s">
        <v>23</v>
      </c>
      <c r="G45" s="2" t="s">
        <v>24</v>
      </c>
      <c r="H45" s="2" t="s">
        <v>47</v>
      </c>
      <c r="I45" s="9"/>
      <c r="J45" s="9"/>
      <c r="K45" s="9"/>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row>
    <row r="46" spans="1:57" s="13" customFormat="1" ht="38.25" x14ac:dyDescent="0.2">
      <c r="A46" s="2" t="s">
        <v>109</v>
      </c>
      <c r="B46" s="2" t="s">
        <v>110</v>
      </c>
      <c r="C46" s="2">
        <v>1706</v>
      </c>
      <c r="D46" s="2" t="s">
        <v>22</v>
      </c>
      <c r="E46" s="6" t="str">
        <f>HYPERLINK("https://csuc-ub.primo.exlibrisgroup.com/permalink/34CSUC_UB/1eiigjf/alma991001681479706708","07 B-65/4/3-3")</f>
        <v>07 B-65/4/3-3</v>
      </c>
      <c r="F46" s="3" t="s">
        <v>50</v>
      </c>
      <c r="G46" s="2" t="s">
        <v>24</v>
      </c>
      <c r="H46" s="2" t="s">
        <v>47</v>
      </c>
      <c r="I46" s="9"/>
      <c r="J46" s="9"/>
      <c r="K46" s="9"/>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row>
    <row r="47" spans="1:57" s="13" customFormat="1" ht="38.25" x14ac:dyDescent="0.2">
      <c r="A47" s="2" t="s">
        <v>61</v>
      </c>
      <c r="B47" s="2" t="s">
        <v>111</v>
      </c>
      <c r="C47" s="2">
        <v>1706</v>
      </c>
      <c r="D47" s="2" t="s">
        <v>22</v>
      </c>
      <c r="E47" s="6" t="str">
        <f>HYPERLINK("https://csuc-ub.primo.exlibrisgroup.com/permalink/34CSUC_UB/1eiigjf/alma991001681529706708","07 B-65/4/3-4")</f>
        <v>07 B-65/4/3-4</v>
      </c>
      <c r="F47" s="3" t="s">
        <v>50</v>
      </c>
      <c r="G47" s="2" t="s">
        <v>24</v>
      </c>
      <c r="H47" s="2" t="s">
        <v>47</v>
      </c>
      <c r="I47" s="9"/>
      <c r="J47" s="9"/>
      <c r="K47" s="9"/>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row>
    <row r="48" spans="1:57" s="13" customFormat="1" ht="51" x14ac:dyDescent="0.2">
      <c r="A48" s="2" t="s">
        <v>112</v>
      </c>
      <c r="B48" s="2" t="s">
        <v>113</v>
      </c>
      <c r="C48" s="2">
        <v>1706</v>
      </c>
      <c r="D48" s="2" t="s">
        <v>22</v>
      </c>
      <c r="E48" s="6" t="str">
        <f>HYPERLINK("https://csuc-ub.primo.exlibrisgroup.com/permalink/34CSUC_UB/1eiigjf/alma991001681649706708","07 B-65/4/3-6")</f>
        <v>07 B-65/4/3-6</v>
      </c>
      <c r="F48" s="3" t="s">
        <v>50</v>
      </c>
      <c r="G48" s="2" t="s">
        <v>24</v>
      </c>
      <c r="H48" s="2" t="s">
        <v>47</v>
      </c>
      <c r="I48" s="9"/>
      <c r="J48" s="9"/>
      <c r="K48" s="9"/>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row>
    <row r="49" spans="1:57" s="13" customFormat="1" ht="25.5" x14ac:dyDescent="0.2">
      <c r="A49" s="2" t="s">
        <v>114</v>
      </c>
      <c r="B49" s="2" t="s">
        <v>115</v>
      </c>
      <c r="C49" s="2">
        <v>1706</v>
      </c>
      <c r="D49" s="2" t="s">
        <v>22</v>
      </c>
      <c r="E49" s="6" t="str">
        <f>HYPERLINK("https://csuc-ub.primo.exlibrisgroup.com/permalink/34CSUC_UB/1eiigjf/alma991001681699706708","07 B-65/4/3-7")</f>
        <v>07 B-65/4/3-7</v>
      </c>
      <c r="F49" s="3" t="s">
        <v>50</v>
      </c>
      <c r="G49" s="2" t="s">
        <v>24</v>
      </c>
      <c r="H49" s="2" t="s">
        <v>89</v>
      </c>
      <c r="I49" s="8"/>
      <c r="J49" s="9"/>
      <c r="K49" s="9"/>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row>
    <row r="50" spans="1:57" s="13" customFormat="1" ht="51" x14ac:dyDescent="0.2">
      <c r="A50" s="2" t="s">
        <v>103</v>
      </c>
      <c r="B50" s="2" t="s">
        <v>116</v>
      </c>
      <c r="C50" s="2">
        <v>1706</v>
      </c>
      <c r="D50" s="2" t="s">
        <v>22</v>
      </c>
      <c r="E50" s="6" t="str">
        <f>HYPERLINK("https://csuc-ub.primo.exlibrisgroup.com/permalink/34CSUC_UB/1eiigjf/alma991002007509706708","07 B-65/4/3-8")</f>
        <v>07 B-65/4/3-8</v>
      </c>
      <c r="F50" s="3" t="s">
        <v>50</v>
      </c>
      <c r="G50" s="2" t="s">
        <v>24</v>
      </c>
      <c r="H50" s="2" t="s">
        <v>47</v>
      </c>
      <c r="I50" s="9"/>
      <c r="J50" s="9"/>
      <c r="K50" s="9"/>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1:57" s="13" customFormat="1" ht="38.25" x14ac:dyDescent="0.2">
      <c r="A51" s="1"/>
      <c r="B51" s="2" t="s">
        <v>117</v>
      </c>
      <c r="C51" s="2">
        <v>1706</v>
      </c>
      <c r="D51" s="2" t="s">
        <v>118</v>
      </c>
      <c r="E51" s="6" t="str">
        <f>HYPERLINK("https://csuc-ub.primo.exlibrisgroup.com/permalink/34CSUC_UB/1eiigjf/alma991001681759706708","07 B-65/4/3-9")</f>
        <v>07 B-65/4/3-9</v>
      </c>
      <c r="F51" s="3" t="s">
        <v>33</v>
      </c>
      <c r="G51" s="2" t="s">
        <v>24</v>
      </c>
      <c r="H51" s="2" t="s">
        <v>28</v>
      </c>
      <c r="I51" s="9"/>
      <c r="J51" s="9"/>
      <c r="K51" s="9"/>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row>
    <row r="52" spans="1:57" s="13" customFormat="1" x14ac:dyDescent="0.2">
      <c r="A52" s="1"/>
      <c r="B52" s="2" t="s">
        <v>119</v>
      </c>
      <c r="C52" s="2">
        <v>1706</v>
      </c>
      <c r="D52" s="2" t="s">
        <v>120</v>
      </c>
      <c r="E52" s="6" t="str">
        <f>HYPERLINK("https://csuc-ub.primo.exlibrisgroup.com/permalink/34CSUC_UB/1eiigjf/alma991001938969706708","07 C-239/3/10-2")</f>
        <v>07 C-239/3/10-2</v>
      </c>
      <c r="F52" s="3" t="s">
        <v>33</v>
      </c>
      <c r="G52" s="2" t="s">
        <v>24</v>
      </c>
      <c r="H52" s="2" t="s">
        <v>28</v>
      </c>
      <c r="I52" s="9"/>
      <c r="J52" s="9"/>
      <c r="K52" s="9"/>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row>
    <row r="53" spans="1:57" s="13" customFormat="1" ht="38.25" x14ac:dyDescent="0.2">
      <c r="A53" s="2" t="s">
        <v>61</v>
      </c>
      <c r="B53" s="2" t="s">
        <v>121</v>
      </c>
      <c r="C53" s="2">
        <v>1706</v>
      </c>
      <c r="D53" s="2" t="s">
        <v>22</v>
      </c>
      <c r="E53" s="6" t="str">
        <f>HYPERLINK("https://csuc-ub.primo.exlibrisgroup.com/permalink/34CSUC_UB/1eiigjf/alma991001945359706708","07 C-239/4/22-2")</f>
        <v>07 C-239/4/22-2</v>
      </c>
      <c r="F53" s="3" t="s">
        <v>98</v>
      </c>
      <c r="G53" s="2" t="s">
        <v>24</v>
      </c>
      <c r="H53" s="2" t="s">
        <v>47</v>
      </c>
      <c r="I53" s="9"/>
      <c r="J53" s="9"/>
      <c r="K53" s="9"/>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row>
    <row r="54" spans="1:57" s="13" customFormat="1" ht="38.25" x14ac:dyDescent="0.2">
      <c r="A54" s="2" t="s">
        <v>61</v>
      </c>
      <c r="B54" s="2" t="s">
        <v>122</v>
      </c>
      <c r="C54" s="2">
        <v>1706</v>
      </c>
      <c r="D54" s="2" t="s">
        <v>22</v>
      </c>
      <c r="E54" s="6" t="str">
        <f>HYPERLINK("https://csuc-ub.primo.exlibrisgroup.com/permalink/34CSUC_UB/1eiigjf/alma991001849809706708","07 C-240/1/3-11")</f>
        <v>07 C-240/1/3-11</v>
      </c>
      <c r="F54" s="3" t="s">
        <v>50</v>
      </c>
      <c r="G54" s="2" t="s">
        <v>24</v>
      </c>
      <c r="H54" s="2" t="s">
        <v>47</v>
      </c>
      <c r="I54" s="9"/>
      <c r="J54" s="9"/>
      <c r="K54" s="9"/>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row>
    <row r="55" spans="1:57" s="13" customFormat="1" ht="38.25" x14ac:dyDescent="0.2">
      <c r="A55" s="2" t="s">
        <v>20</v>
      </c>
      <c r="B55" s="2" t="s">
        <v>123</v>
      </c>
      <c r="C55" s="2">
        <v>1706</v>
      </c>
      <c r="D55" s="2" t="s">
        <v>22</v>
      </c>
      <c r="E55" s="6" t="str">
        <f>HYPERLINK("https://csuc-ub.primo.exlibrisgroup.com/permalink/34CSUC_UB/1eiigjf/alma991003227909706708","07 Ms 1007 Imp 10")</f>
        <v>07 Ms 1007 Imp 10</v>
      </c>
      <c r="F55" s="3" t="s">
        <v>102</v>
      </c>
      <c r="G55" s="2" t="s">
        <v>24</v>
      </c>
      <c r="H55" s="2" t="s">
        <v>124</v>
      </c>
      <c r="I55" s="9"/>
      <c r="J55" s="9"/>
      <c r="K55" s="9"/>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row>
    <row r="56" spans="1:57" s="13" customFormat="1" ht="38.25" x14ac:dyDescent="0.2">
      <c r="A56" s="2" t="s">
        <v>61</v>
      </c>
      <c r="B56" s="2" t="s">
        <v>125</v>
      </c>
      <c r="C56" s="2">
        <v>1706</v>
      </c>
      <c r="D56" s="2" t="s">
        <v>22</v>
      </c>
      <c r="E56" s="6" t="str">
        <f>HYPERLINK("https://csuc-ub.primo.exlibrisgroup.com/permalink/34CSUC_UB/1eiigjf/alma991003230219706708","07 Ms 1007 Imp 11")</f>
        <v>07 Ms 1007 Imp 11</v>
      </c>
      <c r="F56" s="3" t="s">
        <v>102</v>
      </c>
      <c r="G56" s="2" t="s">
        <v>24</v>
      </c>
      <c r="H56" s="2" t="s">
        <v>47</v>
      </c>
      <c r="I56" s="9"/>
      <c r="J56" s="9"/>
      <c r="K56" s="9"/>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row>
    <row r="57" spans="1:57" s="13" customFormat="1" ht="38.25" x14ac:dyDescent="0.2">
      <c r="A57" s="2" t="s">
        <v>61</v>
      </c>
      <c r="B57" s="2" t="s">
        <v>126</v>
      </c>
      <c r="C57" s="2">
        <v>1706</v>
      </c>
      <c r="D57" s="2" t="s">
        <v>22</v>
      </c>
      <c r="E57" s="6" t="str">
        <f>HYPERLINK("https://csuc-ub.primo.exlibrisgroup.com/permalink/34CSUC_UB/1eiigjf/alma991003230289706708","07 Ms 1007 Imp 12")</f>
        <v>07 Ms 1007 Imp 12</v>
      </c>
      <c r="F57" s="3" t="s">
        <v>102</v>
      </c>
      <c r="G57" s="2" t="s">
        <v>24</v>
      </c>
      <c r="H57" s="2" t="s">
        <v>47</v>
      </c>
      <c r="I57" s="9"/>
      <c r="J57" s="9"/>
      <c r="K57" s="9"/>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row>
    <row r="58" spans="1:57" s="13" customFormat="1" ht="38.25" x14ac:dyDescent="0.2">
      <c r="A58" s="2" t="s">
        <v>61</v>
      </c>
      <c r="B58" s="2" t="s">
        <v>127</v>
      </c>
      <c r="C58" s="2">
        <v>1706</v>
      </c>
      <c r="D58" s="2" t="s">
        <v>22</v>
      </c>
      <c r="E58" s="6" t="str">
        <f>HYPERLINK("https://csuc-ub.primo.exlibrisgroup.com/permalink/34CSUC_UB/1eiigjf/alma991003230379706708","07 Ms 1007 Imp 13")</f>
        <v>07 Ms 1007 Imp 13</v>
      </c>
      <c r="F58" s="3" t="s">
        <v>102</v>
      </c>
      <c r="G58" s="2" t="s">
        <v>24</v>
      </c>
      <c r="H58" s="2" t="s">
        <v>47</v>
      </c>
      <c r="I58" s="9"/>
      <c r="J58" s="9"/>
      <c r="K58" s="9"/>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row>
    <row r="59" spans="1:57" s="13" customFormat="1" ht="38.25" x14ac:dyDescent="0.2">
      <c r="A59" s="2" t="s">
        <v>128</v>
      </c>
      <c r="B59" s="2" t="s">
        <v>129</v>
      </c>
      <c r="C59" s="2">
        <v>1706</v>
      </c>
      <c r="D59" s="2" t="s">
        <v>22</v>
      </c>
      <c r="E59" s="6" t="str">
        <f>HYPERLINK("https://csuc-ub.primo.exlibrisgroup.com/permalink/34CSUC_UB/1eiigjf/alma991003230609706708","07 Ms 1007 Imp 14")</f>
        <v>07 Ms 1007 Imp 14</v>
      </c>
      <c r="F59" s="3" t="s">
        <v>102</v>
      </c>
      <c r="G59" s="2" t="s">
        <v>24</v>
      </c>
      <c r="H59" s="2" t="s">
        <v>130</v>
      </c>
      <c r="I59" s="9"/>
      <c r="J59" s="9"/>
      <c r="K59" s="9"/>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row>
    <row r="60" spans="1:57" s="13" customFormat="1" ht="38.25" x14ac:dyDescent="0.2">
      <c r="A60" s="2" t="s">
        <v>61</v>
      </c>
      <c r="B60" s="2" t="s">
        <v>131</v>
      </c>
      <c r="C60" s="2">
        <v>1706</v>
      </c>
      <c r="D60" s="2" t="s">
        <v>106</v>
      </c>
      <c r="E60" s="6" t="str">
        <f>HYPERLINK("https://csuc-ub.primo.exlibrisgroup.com/permalink/34CSUC_UB/1eiigjf/alma991003230679706708","07 Ms 1007 Imp 15")</f>
        <v>07 Ms 1007 Imp 15</v>
      </c>
      <c r="F60" s="3" t="s">
        <v>50</v>
      </c>
      <c r="G60" s="2" t="s">
        <v>24</v>
      </c>
      <c r="H60" s="2" t="s">
        <v>47</v>
      </c>
      <c r="I60" s="9"/>
      <c r="J60" s="9"/>
      <c r="K60" s="9"/>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row>
    <row r="61" spans="1:57" s="13" customFormat="1" ht="38.25" x14ac:dyDescent="0.2">
      <c r="A61" s="2" t="s">
        <v>20</v>
      </c>
      <c r="B61" s="2" t="s">
        <v>132</v>
      </c>
      <c r="C61" s="2">
        <v>1706</v>
      </c>
      <c r="D61" s="2" t="s">
        <v>22</v>
      </c>
      <c r="E61" s="6" t="str">
        <f>HYPERLINK("https://csuc-ub.primo.exlibrisgroup.com/permalink/34CSUC_UB/1eiigjf/alma991003227789706708","07 Ms 1007 Imp 7")</f>
        <v>07 Ms 1007 Imp 7</v>
      </c>
      <c r="F61" s="3" t="s">
        <v>102</v>
      </c>
      <c r="G61" s="2" t="s">
        <v>24</v>
      </c>
      <c r="H61" s="2" t="s">
        <v>124</v>
      </c>
      <c r="I61" s="9"/>
      <c r="J61" s="9"/>
      <c r="K61" s="9"/>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row>
    <row r="62" spans="1:57" s="13" customFormat="1" ht="38.25" x14ac:dyDescent="0.2">
      <c r="A62" s="2" t="s">
        <v>61</v>
      </c>
      <c r="B62" s="2" t="s">
        <v>133</v>
      </c>
      <c r="C62" s="2">
        <v>1706</v>
      </c>
      <c r="D62" s="2" t="s">
        <v>22</v>
      </c>
      <c r="E62" s="6" t="str">
        <f>HYPERLINK("https://csuc-ub.primo.exlibrisgroup.com/permalink/34CSUC_UB/1eiigjf/alma991003227839706708","07 Ms 1007 Imp 8")</f>
        <v>07 Ms 1007 Imp 8</v>
      </c>
      <c r="F62" s="3" t="s">
        <v>102</v>
      </c>
      <c r="G62" s="2" t="s">
        <v>24</v>
      </c>
      <c r="H62" s="2" t="s">
        <v>134</v>
      </c>
      <c r="I62" s="9"/>
      <c r="J62" s="9"/>
      <c r="K62" s="9"/>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row>
    <row r="63" spans="1:57" s="13" customFormat="1" ht="38.25" x14ac:dyDescent="0.2">
      <c r="A63" s="2" t="s">
        <v>61</v>
      </c>
      <c r="B63" s="2" t="s">
        <v>135</v>
      </c>
      <c r="C63" s="2">
        <v>1706</v>
      </c>
      <c r="D63" s="2" t="s">
        <v>22</v>
      </c>
      <c r="E63" s="6" t="str">
        <f>HYPERLINK("https://csuc-ub.primo.exlibrisgroup.com/permalink/34CSUC_UB/1eiigjf/alma991003227879706708","07 Ms 1007 Imp 9")</f>
        <v>07 Ms 1007 Imp 9</v>
      </c>
      <c r="F63" s="3" t="s">
        <v>102</v>
      </c>
      <c r="G63" s="2" t="s">
        <v>24</v>
      </c>
      <c r="H63" s="2" t="s">
        <v>47</v>
      </c>
      <c r="I63" s="8"/>
      <c r="J63" s="9"/>
      <c r="K63" s="9"/>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row>
    <row r="64" spans="1:57" s="13" customFormat="1" ht="25.5" x14ac:dyDescent="0.2">
      <c r="A64" s="1"/>
      <c r="B64" s="2" t="s">
        <v>136</v>
      </c>
      <c r="C64" s="2">
        <v>1706</v>
      </c>
      <c r="D64" s="2" t="s">
        <v>22</v>
      </c>
      <c r="E64" s="6" t="str">
        <f>HYPERLINK("https://csuc-ub.primo.exlibrisgroup.com/permalink/34CSUC_UB/1eiigjf/alma991002230609706708","07 XVIII-2106-34")</f>
        <v>07 XVIII-2106-34</v>
      </c>
      <c r="F64" s="3" t="s">
        <v>98</v>
      </c>
      <c r="G64" s="2" t="s">
        <v>24</v>
      </c>
      <c r="H64" s="2" t="s">
        <v>13</v>
      </c>
      <c r="I64" s="8"/>
      <c r="J64" s="8"/>
      <c r="K64" s="9"/>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row>
    <row r="65" spans="1:57" s="13" customFormat="1" ht="38.25" x14ac:dyDescent="0.2">
      <c r="A65" s="2" t="s">
        <v>137</v>
      </c>
      <c r="B65" s="2" t="s">
        <v>138</v>
      </c>
      <c r="C65" s="2">
        <v>1706</v>
      </c>
      <c r="D65" s="2" t="s">
        <v>139</v>
      </c>
      <c r="E65" s="6" t="str">
        <f>HYPERLINK("https://csuc-ub.primo.exlibrisgroup.com/permalink/34CSUC_UB/1eiigjf/alma991003026439706708","07 XVIII-6163-9")</f>
        <v>07 XVIII-6163-9</v>
      </c>
      <c r="F65" s="3" t="s">
        <v>33</v>
      </c>
      <c r="G65" s="2" t="s">
        <v>24</v>
      </c>
      <c r="H65" s="2" t="s">
        <v>47</v>
      </c>
      <c r="I65" s="9"/>
      <c r="J65" s="9"/>
      <c r="K65" s="9"/>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row>
    <row r="66" spans="1:57" s="13" customFormat="1" ht="38.25" x14ac:dyDescent="0.2">
      <c r="A66" s="2" t="s">
        <v>61</v>
      </c>
      <c r="B66" s="2" t="s">
        <v>140</v>
      </c>
      <c r="C66" s="2">
        <v>1707</v>
      </c>
      <c r="D66" s="2" t="s">
        <v>22</v>
      </c>
      <c r="E66" s="6" t="str">
        <f>HYPERLINK("https://csuc-ub.primo.exlibrisgroup.com/permalink/34CSUC_UB/1eiigjf/alma991002379459706708","07 B-38/4/2-26")</f>
        <v>07 B-38/4/2-26</v>
      </c>
      <c r="F66" s="3" t="s">
        <v>50</v>
      </c>
      <c r="G66" s="2" t="s">
        <v>24</v>
      </c>
      <c r="H66" s="2" t="s">
        <v>141</v>
      </c>
      <c r="I66" s="9"/>
      <c r="J66" s="9"/>
      <c r="K66" s="9"/>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row>
    <row r="67" spans="1:57" s="13" customFormat="1" ht="25.5" x14ac:dyDescent="0.2">
      <c r="A67" s="1"/>
      <c r="B67" s="2" t="s">
        <v>142</v>
      </c>
      <c r="C67" s="2">
        <v>1707</v>
      </c>
      <c r="D67" s="2" t="s">
        <v>22</v>
      </c>
      <c r="E67" s="6" t="str">
        <f>HYPERLINK("https://csuc-ub.primo.exlibrisgroup.com/permalink/34CSUC_UB/1eiigjf/alma991001721799706708","07 B-44/4/2-2")</f>
        <v>07 B-44/4/2-2</v>
      </c>
      <c r="F67" s="3" t="s">
        <v>23</v>
      </c>
      <c r="G67" s="2" t="s">
        <v>24</v>
      </c>
      <c r="H67" s="2" t="s">
        <v>13</v>
      </c>
      <c r="I67" s="8"/>
      <c r="J67" s="8"/>
      <c r="K67" s="9"/>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row>
    <row r="68" spans="1:57" s="13" customFormat="1" ht="38.25" x14ac:dyDescent="0.2">
      <c r="A68" s="2" t="s">
        <v>143</v>
      </c>
      <c r="B68" s="2" t="s">
        <v>144</v>
      </c>
      <c r="C68" s="2">
        <v>1707</v>
      </c>
      <c r="D68" s="2" t="s">
        <v>22</v>
      </c>
      <c r="E68" s="6" t="str">
        <f>HYPERLINK("https://csuc-ub.primo.exlibrisgroup.com/permalink/34CSUC_UB/1eiigjf/alma991001720869706708","07 B-45/3/21-3")</f>
        <v>07 B-45/3/21-3</v>
      </c>
      <c r="F68" s="3" t="s">
        <v>145</v>
      </c>
      <c r="G68" s="2" t="s">
        <v>24</v>
      </c>
      <c r="H68" s="2" t="s">
        <v>28</v>
      </c>
      <c r="I68" s="9"/>
      <c r="J68" s="9"/>
      <c r="K68" s="9"/>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row>
    <row r="69" spans="1:57" s="13" customFormat="1" ht="38.25" x14ac:dyDescent="0.2">
      <c r="A69" s="1"/>
      <c r="B69" s="2" t="s">
        <v>146</v>
      </c>
      <c r="C69" s="2">
        <v>1707</v>
      </c>
      <c r="D69" s="2" t="s">
        <v>22</v>
      </c>
      <c r="E69" s="6" t="str">
        <f>HYPERLINK("https://csuc-ub.primo.exlibrisgroup.com/permalink/34CSUC_UB/1eiigjf/alma991008808679706708","07 B-55/4/3-11")</f>
        <v>07 B-55/4/3-11</v>
      </c>
      <c r="F69" s="3" t="s">
        <v>98</v>
      </c>
      <c r="G69" s="2" t="s">
        <v>24</v>
      </c>
      <c r="H69" s="2" t="s">
        <v>147</v>
      </c>
      <c r="I69" s="9"/>
      <c r="J69" s="9"/>
      <c r="K69" s="9"/>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row>
    <row r="70" spans="1:57" s="13" customFormat="1" ht="25.5" x14ac:dyDescent="0.2">
      <c r="A70" s="1"/>
      <c r="B70" s="2" t="s">
        <v>148</v>
      </c>
      <c r="C70" s="2">
        <v>1707</v>
      </c>
      <c r="D70" s="2" t="s">
        <v>22</v>
      </c>
      <c r="E70" s="6" t="str">
        <f>HYPERLINK("https://csuc-ub.primo.exlibrisgroup.com/permalink/34CSUC_UB/1eiigjf/alma991008804539706708","07 B-55/4/3-9")</f>
        <v>07 B-55/4/3-9</v>
      </c>
      <c r="F70" s="3" t="s">
        <v>98</v>
      </c>
      <c r="G70" s="2" t="s">
        <v>24</v>
      </c>
      <c r="H70" s="2" t="s">
        <v>47</v>
      </c>
      <c r="I70" s="9"/>
      <c r="J70" s="9"/>
      <c r="K70" s="9"/>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row>
    <row r="71" spans="1:57" s="13" customFormat="1" ht="38.25" x14ac:dyDescent="0.2">
      <c r="A71" s="1"/>
      <c r="B71" s="2" t="s">
        <v>149</v>
      </c>
      <c r="C71" s="2">
        <v>1707</v>
      </c>
      <c r="D71" s="2" t="s">
        <v>46</v>
      </c>
      <c r="E71" s="6" t="str">
        <f>HYPERLINK("https://csuc-ub.primo.exlibrisgroup.com/permalink/34CSUC_UB/1eiigjf/alma991002023899706708","07 B-65/3/18-7")</f>
        <v>07 B-65/3/18-7</v>
      </c>
      <c r="F71" s="3" t="s">
        <v>23</v>
      </c>
      <c r="G71" s="2" t="s">
        <v>24</v>
      </c>
      <c r="H71" s="2" t="s">
        <v>150</v>
      </c>
      <c r="I71" s="9"/>
      <c r="J71" s="9"/>
      <c r="K71" s="9"/>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row>
    <row r="72" spans="1:57" s="13" customFormat="1" ht="38.25" x14ac:dyDescent="0.2">
      <c r="A72" s="1"/>
      <c r="B72" s="2" t="s">
        <v>151</v>
      </c>
      <c r="C72" s="2">
        <v>1707</v>
      </c>
      <c r="D72" s="2" t="s">
        <v>22</v>
      </c>
      <c r="E72" s="6" t="str">
        <f>HYPERLINK("https://csuc-ub.primo.exlibrisgroup.com/permalink/34CSUC_UB/1eiigjf/alma991001682529706708","07 B-65/4/3-30")</f>
        <v>07 B-65/4/3-30</v>
      </c>
      <c r="F72" s="3" t="s">
        <v>98</v>
      </c>
      <c r="G72" s="2" t="s">
        <v>24</v>
      </c>
      <c r="H72" s="2" t="s">
        <v>47</v>
      </c>
      <c r="I72" s="9"/>
      <c r="J72" s="9"/>
      <c r="K72" s="9"/>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row>
    <row r="73" spans="1:57" s="13" customFormat="1" x14ac:dyDescent="0.2">
      <c r="A73" s="1"/>
      <c r="B73" s="2" t="s">
        <v>152</v>
      </c>
      <c r="C73" s="2">
        <v>1707</v>
      </c>
      <c r="D73" s="2" t="s">
        <v>22</v>
      </c>
      <c r="E73" s="6" t="str">
        <f>HYPERLINK("https://csuc-ub.primo.exlibrisgroup.com/permalink/34CSUC_UB/1eiigjf/alma991001901029706708","07 C-240/6/20-14")</f>
        <v>07 C-240/6/20-14</v>
      </c>
      <c r="F73" s="3" t="s">
        <v>33</v>
      </c>
      <c r="G73" s="2" t="s">
        <v>24</v>
      </c>
      <c r="H73" s="2" t="s">
        <v>28</v>
      </c>
      <c r="I73" s="9"/>
      <c r="J73" s="9"/>
      <c r="K73" s="9"/>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row>
    <row r="74" spans="1:57" s="13" customFormat="1" ht="38.25" x14ac:dyDescent="0.2">
      <c r="A74" s="1"/>
      <c r="B74" s="2" t="s">
        <v>153</v>
      </c>
      <c r="C74" s="2">
        <v>1707</v>
      </c>
      <c r="D74" s="2" t="s">
        <v>154</v>
      </c>
      <c r="E74" s="6" t="str">
        <f>HYPERLINK("https://csuc-ub.primo.exlibrisgroup.com/permalink/34CSUC_UB/1eiigjf/alma991002633679706708","07 XVIII-2106-42")</f>
        <v>07 XVIII-2106-42</v>
      </c>
      <c r="F74" s="3" t="s">
        <v>23</v>
      </c>
      <c r="G74" s="2" t="s">
        <v>24</v>
      </c>
      <c r="H74" s="2" t="s">
        <v>93</v>
      </c>
      <c r="I74" s="8"/>
      <c r="J74" s="9"/>
      <c r="K74" s="9"/>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row>
    <row r="75" spans="1:57" s="13" customFormat="1" ht="38.25" x14ac:dyDescent="0.2">
      <c r="A75" s="2" t="s">
        <v>155</v>
      </c>
      <c r="B75" s="2" t="s">
        <v>156</v>
      </c>
      <c r="C75" s="2">
        <v>1707</v>
      </c>
      <c r="D75" s="2" t="s">
        <v>157</v>
      </c>
      <c r="E75" s="6" t="str">
        <f>HYPERLINK("https://csuc-ub.primo.exlibrisgroup.com/permalink/34CSUC_UB/1eiigjf/alma991002935129706708","07 XVIII-5240")</f>
        <v>07 XVIII-5240</v>
      </c>
      <c r="F75" s="5"/>
      <c r="G75" s="2" t="s">
        <v>24</v>
      </c>
      <c r="H75" s="2" t="s">
        <v>158</v>
      </c>
      <c r="I75" s="8"/>
      <c r="J75" s="9"/>
      <c r="K75" s="9"/>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row>
    <row r="76" spans="1:57" s="13" customFormat="1" ht="25.5" x14ac:dyDescent="0.2">
      <c r="A76" s="1"/>
      <c r="B76" s="2" t="s">
        <v>159</v>
      </c>
      <c r="C76" s="2">
        <v>1708</v>
      </c>
      <c r="D76" s="2" t="s">
        <v>118</v>
      </c>
      <c r="E76" s="6" t="str">
        <f>HYPERLINK("https://csuc-ub.primo.exlibrisgroup.com/permalink/34CSUC_UB/1eiigjf/alma991001722169706708","07 B-39/6/21-4")</f>
        <v>07 B-39/6/21-4</v>
      </c>
      <c r="F76" s="3" t="s">
        <v>145</v>
      </c>
      <c r="G76" s="2" t="s">
        <v>24</v>
      </c>
      <c r="H76" s="2" t="s">
        <v>28</v>
      </c>
      <c r="I76" s="9"/>
      <c r="J76" s="9"/>
      <c r="K76" s="9"/>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row>
    <row r="77" spans="1:57" s="13" customFormat="1" ht="38.25" x14ac:dyDescent="0.2">
      <c r="A77" s="1"/>
      <c r="B77" s="2" t="s">
        <v>160</v>
      </c>
      <c r="C77" s="2">
        <v>1708</v>
      </c>
      <c r="D77" s="2" t="s">
        <v>22</v>
      </c>
      <c r="E77" s="6" t="str">
        <f>HYPERLINK("https://csuc-ub.primo.exlibrisgroup.com/permalink/34CSUC_UB/1eiigjf/alma991001721999706708","07 B-45/3/22-9")</f>
        <v>07 B-45/3/22-9</v>
      </c>
      <c r="F77" s="3" t="s">
        <v>33</v>
      </c>
      <c r="G77" s="2" t="s">
        <v>24</v>
      </c>
      <c r="H77" s="2" t="s">
        <v>28</v>
      </c>
      <c r="I77" s="9"/>
      <c r="J77" s="9"/>
      <c r="K77" s="9"/>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row>
    <row r="78" spans="1:57" s="13" customFormat="1" ht="25.5" x14ac:dyDescent="0.2">
      <c r="A78" s="1"/>
      <c r="B78" s="2" t="s">
        <v>161</v>
      </c>
      <c r="C78" s="2">
        <v>1708</v>
      </c>
      <c r="D78" s="2" t="s">
        <v>22</v>
      </c>
      <c r="E78" s="6" t="str">
        <f>HYPERLINK("https://csuc-ub.primo.exlibrisgroup.com/permalink/34CSUC_UB/1eiigjf/alma991008818049706708","07 B-55/4/3-15")</f>
        <v>07 B-55/4/3-15</v>
      </c>
      <c r="F78" s="3" t="s">
        <v>23</v>
      </c>
      <c r="G78" s="2" t="s">
        <v>24</v>
      </c>
      <c r="H78" s="2" t="s">
        <v>47</v>
      </c>
      <c r="I78" s="9"/>
      <c r="J78" s="9"/>
      <c r="K78" s="9"/>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row>
    <row r="79" spans="1:57" s="13" customFormat="1" ht="51" x14ac:dyDescent="0.2">
      <c r="A79" s="1"/>
      <c r="B79" s="2" t="s">
        <v>162</v>
      </c>
      <c r="C79" s="2">
        <v>1708</v>
      </c>
      <c r="D79" s="2" t="s">
        <v>22</v>
      </c>
      <c r="E79" s="6" t="str">
        <f>HYPERLINK("https://csuc-ub.primo.exlibrisgroup.com/permalink/34CSUC_UB/1eiigjf/alma991003230869706708","07 Ms 1007 Imp 20")</f>
        <v>07 Ms 1007 Imp 20</v>
      </c>
      <c r="F79" s="3" t="s">
        <v>163</v>
      </c>
      <c r="G79" s="2" t="s">
        <v>24</v>
      </c>
      <c r="H79" s="2" t="s">
        <v>47</v>
      </c>
      <c r="I79" s="8"/>
      <c r="J79" s="9"/>
      <c r="K79" s="9"/>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row>
    <row r="80" spans="1:57" s="13" customFormat="1" ht="38.25" x14ac:dyDescent="0.2">
      <c r="A80" s="2" t="s">
        <v>61</v>
      </c>
      <c r="B80" s="2" t="s">
        <v>164</v>
      </c>
      <c r="C80" s="2">
        <v>1708</v>
      </c>
      <c r="D80" s="2" t="s">
        <v>22</v>
      </c>
      <c r="E80" s="6" t="str">
        <f>HYPERLINK("https://csuc-ub.primo.exlibrisgroup.com/permalink/34CSUC_UB/1eiigjf/alma991007937969706708","07 XVII-8907-81")</f>
        <v>07 XVII-8907-81</v>
      </c>
      <c r="F80" s="3" t="s">
        <v>50</v>
      </c>
      <c r="G80" s="2" t="s">
        <v>24</v>
      </c>
      <c r="H80" s="2" t="s">
        <v>47</v>
      </c>
      <c r="I80" s="9"/>
      <c r="J80" s="9"/>
      <c r="K80" s="9"/>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row>
    <row r="81" spans="1:57" s="13" customFormat="1" ht="25.5" x14ac:dyDescent="0.2">
      <c r="A81" s="1" t="s">
        <v>165</v>
      </c>
      <c r="B81" s="1" t="s">
        <v>166</v>
      </c>
      <c r="C81" s="1">
        <v>1709</v>
      </c>
      <c r="D81" s="1" t="s">
        <v>22</v>
      </c>
      <c r="E81" s="6" t="str">
        <f>HYPERLINK("https://csuc-ub.primo.exlibrisgroup.com/permalink/34CSUC_UB/1eiigjf/alma991003783369706708","07 B-40/2/20")</f>
        <v>07 B-40/2/20</v>
      </c>
      <c r="F81" s="1" t="s">
        <v>56</v>
      </c>
      <c r="G81" s="1" t="s">
        <v>24</v>
      </c>
      <c r="H81" s="1" t="s">
        <v>47</v>
      </c>
      <c r="I81" s="10"/>
      <c r="J81" s="10"/>
      <c r="K81" s="10"/>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row>
    <row r="82" spans="1:57" s="13" customFormat="1" ht="25.5" x14ac:dyDescent="0.2">
      <c r="A82" s="2" t="s">
        <v>167</v>
      </c>
      <c r="B82" s="2" t="s">
        <v>168</v>
      </c>
      <c r="C82" s="2">
        <v>1709</v>
      </c>
      <c r="D82" s="2" t="s">
        <v>22</v>
      </c>
      <c r="E82" s="6" t="str">
        <f>HYPERLINK("https://csuc-ub.primo.exlibrisgroup.com/permalink/34CSUC_UB/1eiigjf/alma991001721849706708","07 B-45/3/22-7")</f>
        <v>07 B-45/3/22-7</v>
      </c>
      <c r="F82" s="3" t="s">
        <v>169</v>
      </c>
      <c r="G82" s="2" t="s">
        <v>24</v>
      </c>
      <c r="H82" s="2" t="s">
        <v>47</v>
      </c>
      <c r="I82" s="9"/>
      <c r="J82" s="9"/>
      <c r="K82" s="9"/>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row>
    <row r="83" spans="1:57" s="13" customFormat="1" ht="38.25" x14ac:dyDescent="0.2">
      <c r="A83" s="2" t="s">
        <v>170</v>
      </c>
      <c r="B83" s="2" t="s">
        <v>171</v>
      </c>
      <c r="C83" s="2">
        <v>1709</v>
      </c>
      <c r="D83" s="2" t="s">
        <v>22</v>
      </c>
      <c r="E83" s="6" t="str">
        <f>HYPERLINK("https://csuc-ub.primo.exlibrisgroup.com/permalink/34CSUC_UB/1eiigjf/alma991008824099706708","07 B-55/4/3-18")</f>
        <v>07 B-55/4/3-18</v>
      </c>
      <c r="F83" s="3" t="s">
        <v>23</v>
      </c>
      <c r="G83" s="2" t="s">
        <v>24</v>
      </c>
      <c r="H83" s="2" t="s">
        <v>89</v>
      </c>
      <c r="I83" s="8"/>
      <c r="J83" s="9"/>
      <c r="K83" s="9"/>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row>
    <row r="84" spans="1:57" s="13" customFormat="1" ht="38.25" x14ac:dyDescent="0.2">
      <c r="A84" s="1"/>
      <c r="B84" s="2" t="s">
        <v>172</v>
      </c>
      <c r="C84" s="2">
        <v>1709</v>
      </c>
      <c r="D84" s="2" t="s">
        <v>22</v>
      </c>
      <c r="E84" s="6" t="str">
        <f>HYPERLINK("https://csuc-ub.primo.exlibrisgroup.com/permalink/34CSUC_UB/1eiigjf/alma991008824379706708","07 B-55/4/3-19")</f>
        <v>07 B-55/4/3-19</v>
      </c>
      <c r="F84" s="3" t="s">
        <v>98</v>
      </c>
      <c r="G84" s="2" t="s">
        <v>24</v>
      </c>
      <c r="H84" s="2" t="s">
        <v>47</v>
      </c>
      <c r="I84" s="9"/>
      <c r="J84" s="9"/>
      <c r="K84" s="9"/>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row>
    <row r="85" spans="1:57" s="13" customFormat="1" ht="38.25" x14ac:dyDescent="0.2">
      <c r="A85" s="1"/>
      <c r="B85" s="2" t="s">
        <v>173</v>
      </c>
      <c r="C85" s="2">
        <v>1709</v>
      </c>
      <c r="D85" s="2" t="s">
        <v>118</v>
      </c>
      <c r="E85" s="6" t="str">
        <f>HYPERLINK("https://csuc-ub.primo.exlibrisgroup.com/permalink/34CSUC_UB/1eiigjf/alma991008787969706708","07 B-55/4/3-7")</f>
        <v>07 B-55/4/3-7</v>
      </c>
      <c r="F85" s="3" t="s">
        <v>33</v>
      </c>
      <c r="G85" s="2" t="s">
        <v>24</v>
      </c>
      <c r="H85" s="2" t="s">
        <v>93</v>
      </c>
      <c r="I85" s="8"/>
      <c r="J85" s="9"/>
      <c r="K85" s="9"/>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row>
    <row r="86" spans="1:57" s="13" customFormat="1" ht="38.25" x14ac:dyDescent="0.2">
      <c r="A86" s="2" t="s">
        <v>174</v>
      </c>
      <c r="B86" s="2" t="s">
        <v>175</v>
      </c>
      <c r="C86" s="2">
        <v>1709</v>
      </c>
      <c r="D86" s="2" t="s">
        <v>76</v>
      </c>
      <c r="E86" s="6" t="str">
        <f>HYPERLINK("https://csuc-ub.primo.exlibrisgroup.com/permalink/34CSUC_UB/1eiigjf/alma991003204059706708","07 C-187/8/18")</f>
        <v>07 C-187/8/18</v>
      </c>
      <c r="F86" s="3" t="s">
        <v>56</v>
      </c>
      <c r="G86" s="2" t="s">
        <v>24</v>
      </c>
      <c r="H86" s="2" t="s">
        <v>13</v>
      </c>
      <c r="I86" s="8"/>
      <c r="J86" s="8"/>
      <c r="K86" s="9"/>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row>
    <row r="87" spans="1:57" s="13" customFormat="1" ht="25.5" x14ac:dyDescent="0.2">
      <c r="A87" s="1"/>
      <c r="B87" s="2" t="s">
        <v>176</v>
      </c>
      <c r="C87" s="2">
        <v>1709</v>
      </c>
      <c r="D87" s="2" t="s">
        <v>22</v>
      </c>
      <c r="E87" s="6" t="str">
        <f>HYPERLINK("https://csuc-ub.primo.exlibrisgroup.com/permalink/34CSUC_UB/1eiigjf/alma991001900979706708","07 C-240/6/20-4")</f>
        <v>07 C-240/6/20-4</v>
      </c>
      <c r="F87" s="3" t="s">
        <v>98</v>
      </c>
      <c r="G87" s="2" t="s">
        <v>24</v>
      </c>
      <c r="H87" s="2" t="s">
        <v>47</v>
      </c>
      <c r="I87" s="8"/>
      <c r="J87" s="9"/>
      <c r="K87" s="9"/>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row>
    <row r="88" spans="1:57" s="13" customFormat="1" ht="38.25" x14ac:dyDescent="0.2">
      <c r="A88" s="1"/>
      <c r="B88" s="2" t="s">
        <v>177</v>
      </c>
      <c r="C88" s="2">
        <v>1709</v>
      </c>
      <c r="D88" s="2" t="s">
        <v>22</v>
      </c>
      <c r="E88" s="6" t="str">
        <f>HYPERLINK("https://csuc-ub.primo.exlibrisgroup.com/permalink/34CSUC_UB/1eiigjf/alma991001870779706708","07 C-240/6/5-25")</f>
        <v>07 C-240/6/5-25</v>
      </c>
      <c r="F88" s="3" t="s">
        <v>178</v>
      </c>
      <c r="G88" s="2" t="s">
        <v>24</v>
      </c>
      <c r="H88" s="2" t="s">
        <v>89</v>
      </c>
      <c r="I88" s="8"/>
      <c r="J88" s="9"/>
      <c r="K88" s="9"/>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row>
    <row r="89" spans="1:57" s="13" customFormat="1" ht="38.25" x14ac:dyDescent="0.2">
      <c r="A89" s="1"/>
      <c r="B89" s="2" t="s">
        <v>172</v>
      </c>
      <c r="C89" s="2">
        <v>1709</v>
      </c>
      <c r="D89" s="2" t="s">
        <v>22</v>
      </c>
      <c r="E89" s="6" t="str">
        <f>HYPERLINK("https://csuc-ub.primo.exlibrisgroup.com/permalink/34CSUC_UB/1eiigjf/alma991003230949706708","07 Ms 1007 Imp 22")</f>
        <v>07 Ms 1007 Imp 22</v>
      </c>
      <c r="F89" s="3" t="s">
        <v>98</v>
      </c>
      <c r="G89" s="2" t="s">
        <v>24</v>
      </c>
      <c r="H89" s="2" t="s">
        <v>47</v>
      </c>
      <c r="I89" s="9"/>
      <c r="J89" s="9"/>
      <c r="K89" s="9"/>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row>
    <row r="90" spans="1:57" s="13" customFormat="1" ht="38.25" x14ac:dyDescent="0.2">
      <c r="A90" s="2" t="s">
        <v>179</v>
      </c>
      <c r="B90" s="2" t="s">
        <v>180</v>
      </c>
      <c r="C90" s="2">
        <v>1709</v>
      </c>
      <c r="D90" s="2" t="s">
        <v>22</v>
      </c>
      <c r="E90" s="6" t="str">
        <f>HYPERLINK("https://csuc-ub.primo.exlibrisgroup.com/permalink/34CSUC_UB/1eiigjf/alma991003230989706708","07 Ms 1007 Imp 23")</f>
        <v>07 Ms 1007 Imp 23</v>
      </c>
      <c r="F90" s="3" t="s">
        <v>98</v>
      </c>
      <c r="G90" s="2" t="s">
        <v>24</v>
      </c>
      <c r="H90" s="2" t="s">
        <v>47</v>
      </c>
      <c r="I90" s="9"/>
      <c r="J90" s="9"/>
      <c r="K90" s="9"/>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row>
    <row r="91" spans="1:57" s="13" customFormat="1" ht="25.5" x14ac:dyDescent="0.2">
      <c r="A91" s="1"/>
      <c r="B91" s="2" t="s">
        <v>181</v>
      </c>
      <c r="C91" s="2">
        <v>1709</v>
      </c>
      <c r="D91" s="2" t="s">
        <v>22</v>
      </c>
      <c r="E91" s="6" t="str">
        <f>HYPERLINK("https://csuc-ub.primo.exlibrisgroup.com/permalink/34CSUC_UB/1eiigjf/alma991002633719706708","07 XVIII-2106-43")</f>
        <v>07 XVIII-2106-43</v>
      </c>
      <c r="F91" s="5"/>
      <c r="G91" s="2" t="s">
        <v>24</v>
      </c>
      <c r="H91" s="2" t="s">
        <v>28</v>
      </c>
      <c r="I91" s="9"/>
      <c r="J91" s="9"/>
      <c r="K91" s="9"/>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row>
    <row r="92" spans="1:57" s="13" customFormat="1" ht="38.25" x14ac:dyDescent="0.2">
      <c r="A92" s="2" t="s">
        <v>61</v>
      </c>
      <c r="B92" s="2" t="s">
        <v>182</v>
      </c>
      <c r="C92" s="2">
        <v>1711</v>
      </c>
      <c r="D92" s="2" t="s">
        <v>22</v>
      </c>
      <c r="E92" s="6" t="str">
        <f>HYPERLINK("https://csuc-ub.primo.exlibrisgroup.com/permalink/34CSUC_UB/1eiigjf/alma991003347399706708","07 B-54/1/1-27")</f>
        <v>07 B-54/1/1-27</v>
      </c>
      <c r="F92" s="3" t="s">
        <v>50</v>
      </c>
      <c r="G92" s="2" t="s">
        <v>24</v>
      </c>
      <c r="H92" s="2" t="s">
        <v>47</v>
      </c>
      <c r="I92" s="9"/>
      <c r="J92" s="9"/>
      <c r="K92" s="9"/>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row>
    <row r="93" spans="1:57" s="13" customFormat="1" ht="38.25" x14ac:dyDescent="0.2">
      <c r="A93" s="2" t="s">
        <v>61</v>
      </c>
      <c r="B93" s="2" t="s">
        <v>183</v>
      </c>
      <c r="C93" s="2">
        <v>1711</v>
      </c>
      <c r="D93" s="2" t="s">
        <v>22</v>
      </c>
      <c r="E93" s="6" t="str">
        <f>HYPERLINK("https://csuc-ub.primo.exlibrisgroup.com/permalink/34CSUC_UB/1eiigjf/alma991003347469706708","07 B-54/1/1-28")</f>
        <v>07 B-54/1/1-28</v>
      </c>
      <c r="F93" s="3" t="s">
        <v>50</v>
      </c>
      <c r="G93" s="2" t="s">
        <v>24</v>
      </c>
      <c r="H93" s="2" t="s">
        <v>47</v>
      </c>
      <c r="I93" s="9"/>
      <c r="J93" s="9"/>
      <c r="K93" s="9"/>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row>
    <row r="94" spans="1:57" s="13" customFormat="1" ht="38.25" x14ac:dyDescent="0.2">
      <c r="A94" s="2" t="s">
        <v>61</v>
      </c>
      <c r="B94" s="2" t="s">
        <v>184</v>
      </c>
      <c r="C94" s="2">
        <v>1711</v>
      </c>
      <c r="D94" s="2" t="s">
        <v>22</v>
      </c>
      <c r="E94" s="6" t="str">
        <f>HYPERLINK("https://csuc-ub.primo.exlibrisgroup.com/permalink/34CSUC_UB/1eiigjf/alma991003347509706708","07 B-54/1/1-29")</f>
        <v>07 B-54/1/1-29</v>
      </c>
      <c r="F94" s="3" t="s">
        <v>50</v>
      </c>
      <c r="G94" s="2" t="s">
        <v>24</v>
      </c>
      <c r="H94" s="2" t="s">
        <v>47</v>
      </c>
      <c r="I94" s="9"/>
      <c r="J94" s="9"/>
      <c r="K94" s="9"/>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row>
    <row r="95" spans="1:57" s="13" customFormat="1" ht="38.25" x14ac:dyDescent="0.2">
      <c r="A95" s="2" t="s">
        <v>61</v>
      </c>
      <c r="B95" s="2" t="s">
        <v>185</v>
      </c>
      <c r="C95" s="2">
        <v>1711</v>
      </c>
      <c r="D95" s="2" t="s">
        <v>22</v>
      </c>
      <c r="E95" s="6" t="str">
        <f>HYPERLINK("https://csuc-ub.primo.exlibrisgroup.com/permalink/34CSUC_UB/1eiigjf/alma991001849869706708","07 C-240/1/3-12")</f>
        <v>07 C-240/1/3-12</v>
      </c>
      <c r="F95" s="3" t="s">
        <v>50</v>
      </c>
      <c r="G95" s="2" t="s">
        <v>24</v>
      </c>
      <c r="H95" s="2" t="s">
        <v>47</v>
      </c>
      <c r="I95" s="9"/>
      <c r="J95" s="9"/>
      <c r="K95" s="9"/>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row>
    <row r="96" spans="1:57" s="13" customFormat="1" ht="38.25" x14ac:dyDescent="0.2">
      <c r="A96" s="29" t="s">
        <v>61</v>
      </c>
      <c r="B96" s="2" t="s">
        <v>186</v>
      </c>
      <c r="C96" s="2">
        <v>1711</v>
      </c>
      <c r="D96" s="2" t="s">
        <v>22</v>
      </c>
      <c r="E96" s="6" t="str">
        <f>HYPERLINK("https://csuc-ub.primo.exlibrisgroup.com/permalink/34CSUC_UB/1eiigjf/alma991001850199706708","07 C-240/1/3-13")</f>
        <v>07 C-240/1/3-13</v>
      </c>
      <c r="F96" s="3" t="s">
        <v>50</v>
      </c>
      <c r="G96" s="2" t="s">
        <v>24</v>
      </c>
      <c r="H96" s="2" t="s">
        <v>47</v>
      </c>
      <c r="I96" s="9"/>
      <c r="J96" s="9"/>
      <c r="K96" s="9"/>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row>
    <row r="97" spans="1:57" s="13" customFormat="1" ht="38.25" x14ac:dyDescent="0.2">
      <c r="A97" s="29" t="s">
        <v>61</v>
      </c>
      <c r="B97" s="2" t="s">
        <v>187</v>
      </c>
      <c r="C97" s="2">
        <v>1711</v>
      </c>
      <c r="D97" s="2" t="s">
        <v>22</v>
      </c>
      <c r="E97" s="6" t="str">
        <f>HYPERLINK("https://csuc-ub.primo.exlibrisgroup.com/permalink/34CSUC_UB/1eiigjf/alma991001850249706708","07 C-240/1/3-14")</f>
        <v>07 C-240/1/3-14</v>
      </c>
      <c r="F97" s="3" t="s">
        <v>50</v>
      </c>
      <c r="G97" s="2" t="s">
        <v>24</v>
      </c>
      <c r="H97" s="2" t="s">
        <v>47</v>
      </c>
      <c r="I97" s="9"/>
      <c r="J97" s="9"/>
      <c r="K97" s="9"/>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row>
    <row r="98" spans="1:57" s="13" customFormat="1" ht="38.25" x14ac:dyDescent="0.2">
      <c r="A98" s="29" t="s">
        <v>61</v>
      </c>
      <c r="B98" s="2" t="s">
        <v>188</v>
      </c>
      <c r="C98" s="2">
        <v>1711</v>
      </c>
      <c r="D98" s="2" t="s">
        <v>22</v>
      </c>
      <c r="E98" s="6" t="str">
        <f>HYPERLINK("https://csuc-ub.primo.exlibrisgroup.com/permalink/34CSUC_UB/1eiigjf/alma991001850289706708","07 C-240/1/3-15")</f>
        <v>07 C-240/1/3-15</v>
      </c>
      <c r="F98" s="3" t="s">
        <v>50</v>
      </c>
      <c r="G98" s="2" t="s">
        <v>24</v>
      </c>
      <c r="H98" s="2" t="s">
        <v>47</v>
      </c>
      <c r="I98" s="9"/>
      <c r="J98" s="9"/>
      <c r="K98" s="9"/>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row>
    <row r="99" spans="1:57" s="13" customFormat="1" ht="38.25" x14ac:dyDescent="0.2">
      <c r="A99" s="2" t="s">
        <v>189</v>
      </c>
      <c r="B99" s="2" t="s">
        <v>190</v>
      </c>
      <c r="C99" s="2">
        <v>1712</v>
      </c>
      <c r="D99" s="2" t="s">
        <v>46</v>
      </c>
      <c r="E99" s="6" t="str">
        <f>HYPERLINK("https://csuc-ub.primo.exlibrisgroup.com/permalink/34CSUC_UB/1eiigjf/alma991003191259706708","07 C-186/3/45")</f>
        <v>07 C-186/3/45</v>
      </c>
      <c r="F99" s="5"/>
      <c r="G99" s="2" t="s">
        <v>24</v>
      </c>
      <c r="H99" s="2" t="s">
        <v>42</v>
      </c>
      <c r="I99" s="9"/>
      <c r="J99" s="9"/>
      <c r="K99" s="9"/>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row>
    <row r="100" spans="1:57" s="13" customFormat="1" ht="38.25" x14ac:dyDescent="0.2">
      <c r="A100" s="29" t="s">
        <v>61</v>
      </c>
      <c r="B100" s="2" t="s">
        <v>191</v>
      </c>
      <c r="C100" s="2">
        <v>1712</v>
      </c>
      <c r="D100" s="2" t="s">
        <v>22</v>
      </c>
      <c r="E100" s="6" t="str">
        <f>HYPERLINK("https://csuc-ub.primo.exlibrisgroup.com/permalink/34CSUC_UB/1eiigjf/alma991001850329706708","07 C-240/1/3-16")</f>
        <v>07 C-240/1/3-16</v>
      </c>
      <c r="F100" s="3" t="s">
        <v>50</v>
      </c>
      <c r="G100" s="2" t="s">
        <v>24</v>
      </c>
      <c r="H100" s="2" t="s">
        <v>47</v>
      </c>
      <c r="I100" s="9"/>
      <c r="J100" s="9"/>
      <c r="K100" s="9"/>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row>
    <row r="101" spans="1:57" s="13" customFormat="1" ht="63.75" x14ac:dyDescent="0.2">
      <c r="A101" s="2" t="s">
        <v>192</v>
      </c>
      <c r="B101" s="2" t="s">
        <v>193</v>
      </c>
      <c r="C101" s="2">
        <v>1712</v>
      </c>
      <c r="D101" s="2" t="s">
        <v>22</v>
      </c>
      <c r="E101" s="6" t="str">
        <f>HYPERLINK("https://csuc-ub.primo.exlibrisgroup.com/permalink/34CSUC_UB/1eiigjf/alma991001850359706708","07 C-240/1/3-17")</f>
        <v>07 C-240/1/3-17</v>
      </c>
      <c r="F101" s="3" t="s">
        <v>50</v>
      </c>
      <c r="G101" s="2" t="s">
        <v>24</v>
      </c>
      <c r="H101" s="2" t="s">
        <v>47</v>
      </c>
      <c r="I101" s="9"/>
      <c r="J101" s="9"/>
      <c r="K101" s="9"/>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row>
    <row r="102" spans="1:57" s="13" customFormat="1" ht="25.5" x14ac:dyDescent="0.2">
      <c r="A102" s="1"/>
      <c r="B102" s="2" t="s">
        <v>194</v>
      </c>
      <c r="C102" s="2">
        <v>1712</v>
      </c>
      <c r="D102" s="2" t="s">
        <v>22</v>
      </c>
      <c r="E102" s="6" t="str">
        <f>HYPERLINK("https://csuc-ub.primo.exlibrisgroup.com/permalink/34CSUC_UB/1eiigjf/alma991001870939706708","07 C-240/6/5-31")</f>
        <v>07 C-240/6/5-31</v>
      </c>
      <c r="F102" s="3" t="s">
        <v>33</v>
      </c>
      <c r="G102" s="2" t="s">
        <v>24</v>
      </c>
      <c r="H102" s="2" t="s">
        <v>28</v>
      </c>
      <c r="I102" s="9"/>
      <c r="J102" s="9"/>
      <c r="K102" s="9"/>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row>
    <row r="103" spans="1:57" s="13" customFormat="1" ht="25.5" x14ac:dyDescent="0.2">
      <c r="A103" s="1"/>
      <c r="B103" s="2" t="s">
        <v>195</v>
      </c>
      <c r="C103" s="2">
        <v>1712</v>
      </c>
      <c r="D103" s="2" t="s">
        <v>118</v>
      </c>
      <c r="E103" s="6" t="str">
        <f>HYPERLINK("https://csuc-ub.primo.exlibrisgroup.com/permalink/34CSUC_UB/1eiigjf/alma991002633649706708","07 XVIII-2106-41")</f>
        <v>07 XVIII-2106-41</v>
      </c>
      <c r="F103" s="5"/>
      <c r="G103" s="2" t="s">
        <v>24</v>
      </c>
      <c r="H103" s="2" t="s">
        <v>89</v>
      </c>
      <c r="I103" s="8"/>
      <c r="J103" s="9"/>
      <c r="K103" s="9"/>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row>
    <row r="104" spans="1:57" s="13" customFormat="1" x14ac:dyDescent="0.2">
      <c r="A104" s="1"/>
      <c r="B104" s="2" t="s">
        <v>196</v>
      </c>
      <c r="C104" s="2">
        <v>1713</v>
      </c>
      <c r="D104" s="2" t="s">
        <v>118</v>
      </c>
      <c r="E104" s="6" t="str">
        <f>HYPERLINK("https://csuc-ub.primo.exlibrisgroup.com/permalink/34CSUC_UB/1eiigjf/alma991001721089706708","07 B-45/3/21-13")</f>
        <v>07 B-45/3/21-13</v>
      </c>
      <c r="F104" s="3" t="s">
        <v>33</v>
      </c>
      <c r="G104" s="2" t="s">
        <v>24</v>
      </c>
      <c r="H104" s="2" t="s">
        <v>28</v>
      </c>
      <c r="I104" s="9"/>
      <c r="J104" s="9"/>
      <c r="K104" s="9"/>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row>
    <row r="105" spans="1:57" s="13" customFormat="1" ht="38.25" x14ac:dyDescent="0.2">
      <c r="A105" s="1"/>
      <c r="B105" s="2" t="s">
        <v>197</v>
      </c>
      <c r="C105" s="2">
        <v>1713</v>
      </c>
      <c r="D105" s="2" t="s">
        <v>22</v>
      </c>
      <c r="E105" s="6" t="str">
        <f>HYPERLINK("https://csuc-ub.primo.exlibrisgroup.com/permalink/34CSUC_UB/1eiigjf/alma991001712879706708","07 B-45/3/8-3")</f>
        <v>07 B-45/3/8-3</v>
      </c>
      <c r="F105" s="3" t="s">
        <v>80</v>
      </c>
      <c r="G105" s="2" t="s">
        <v>24</v>
      </c>
      <c r="H105" s="2" t="s">
        <v>28</v>
      </c>
      <c r="I105" s="9"/>
      <c r="J105" s="9"/>
      <c r="K105" s="9"/>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row>
    <row r="106" spans="1:57" s="13" customFormat="1" ht="38.25" x14ac:dyDescent="0.2">
      <c r="A106" s="2" t="s">
        <v>20</v>
      </c>
      <c r="B106" s="2" t="s">
        <v>198</v>
      </c>
      <c r="C106" s="2">
        <v>1713</v>
      </c>
      <c r="D106" s="2" t="s">
        <v>22</v>
      </c>
      <c r="E106" s="6" t="str">
        <f>HYPERLINK("https://csuc-ub.primo.exlibrisgroup.com/permalink/34CSUC_UB/1eiigjf/alma991003347579706708","07 B-54/1/1-31")</f>
        <v>07 B-54/1/1-31</v>
      </c>
      <c r="F106" s="3" t="s">
        <v>102</v>
      </c>
      <c r="G106" s="2" t="s">
        <v>24</v>
      </c>
      <c r="H106" s="2" t="s">
        <v>13</v>
      </c>
      <c r="I106" s="9"/>
      <c r="J106" s="9"/>
      <c r="K106" s="9"/>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row>
    <row r="107" spans="1:57" s="13" customFormat="1" ht="38.25" x14ac:dyDescent="0.2">
      <c r="A107" s="2" t="s">
        <v>20</v>
      </c>
      <c r="B107" s="2" t="s">
        <v>199</v>
      </c>
      <c r="C107" s="2">
        <v>1713</v>
      </c>
      <c r="D107" s="2" t="s">
        <v>22</v>
      </c>
      <c r="E107" s="6" t="str">
        <f>HYPERLINK("https://csuc-ub.primo.exlibrisgroup.com/permalink/34CSUC_UB/1eiigjf/alma991003347889706708","07 B-54/1/1-32")</f>
        <v>07 B-54/1/1-32</v>
      </c>
      <c r="F107" s="3" t="s">
        <v>102</v>
      </c>
      <c r="G107" s="2" t="s">
        <v>24</v>
      </c>
      <c r="H107" s="2" t="s">
        <v>13</v>
      </c>
      <c r="I107" s="9"/>
      <c r="J107" s="9"/>
      <c r="K107" s="9"/>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row>
    <row r="108" spans="1:57" s="13" customFormat="1" ht="38.25" x14ac:dyDescent="0.2">
      <c r="A108" s="28" t="s">
        <v>200</v>
      </c>
      <c r="B108" s="2" t="s">
        <v>201</v>
      </c>
      <c r="C108" s="2">
        <v>1713</v>
      </c>
      <c r="D108" s="2" t="s">
        <v>22</v>
      </c>
      <c r="E108" s="6" t="str">
        <f>HYPERLINK("https://csuc-ub.primo.exlibrisgroup.com/permalink/34CSUC_UB/1eiigjf/alma991003348259706708","07 B-54/1/1-33")</f>
        <v>07 B-54/1/1-33</v>
      </c>
      <c r="F108" s="3" t="s">
        <v>102</v>
      </c>
      <c r="G108" s="2" t="s">
        <v>24</v>
      </c>
      <c r="H108" s="2" t="s">
        <v>13</v>
      </c>
      <c r="I108" s="9"/>
      <c r="J108" s="9"/>
      <c r="K108" s="9"/>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row>
    <row r="109" spans="1:57" s="13" customFormat="1" ht="38.25" x14ac:dyDescent="0.2">
      <c r="A109" s="2" t="s">
        <v>202</v>
      </c>
      <c r="B109" s="2" t="s">
        <v>203</v>
      </c>
      <c r="C109" s="2">
        <v>1713</v>
      </c>
      <c r="D109" s="2" t="s">
        <v>22</v>
      </c>
      <c r="E109" s="6" t="str">
        <f>HYPERLINK("https://csuc-ub.primo.exlibrisgroup.com/permalink/34CSUC_UB/1eiigjf/alma991003348609706708","07 B-54/1/1-34")</f>
        <v>07 B-54/1/1-34</v>
      </c>
      <c r="F109" s="3" t="s">
        <v>102</v>
      </c>
      <c r="G109" s="2" t="s">
        <v>24</v>
      </c>
      <c r="H109" s="2" t="s">
        <v>47</v>
      </c>
      <c r="I109" s="9"/>
      <c r="J109" s="9"/>
      <c r="K109" s="9"/>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row>
    <row r="110" spans="1:57" s="13" customFormat="1" ht="38.25" x14ac:dyDescent="0.2">
      <c r="A110" s="2" t="s">
        <v>84</v>
      </c>
      <c r="B110" s="2" t="s">
        <v>204</v>
      </c>
      <c r="C110" s="2">
        <v>1713</v>
      </c>
      <c r="D110" s="2" t="s">
        <v>22</v>
      </c>
      <c r="E110" s="6" t="str">
        <f>HYPERLINK("https://csuc-ub.primo.exlibrisgroup.com/permalink/34CSUC_UB/1eiigjf/alma991003348659706708","07 B-54/1/1-35")</f>
        <v>07 B-54/1/1-35</v>
      </c>
      <c r="F110" s="3" t="s">
        <v>205</v>
      </c>
      <c r="G110" s="2" t="s">
        <v>24</v>
      </c>
      <c r="H110" s="2" t="s">
        <v>13</v>
      </c>
      <c r="I110" s="9"/>
      <c r="J110" s="9"/>
      <c r="K110" s="9"/>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row>
    <row r="111" spans="1:57" s="13" customFormat="1" ht="38.25" x14ac:dyDescent="0.2">
      <c r="A111" s="28" t="s">
        <v>202</v>
      </c>
      <c r="B111" s="2" t="s">
        <v>206</v>
      </c>
      <c r="C111" s="2">
        <v>1713</v>
      </c>
      <c r="D111" s="2" t="s">
        <v>22</v>
      </c>
      <c r="E111" s="6" t="str">
        <f>HYPERLINK("https://csuc-ub.primo.exlibrisgroup.com/permalink/34CSUC_UB/1eiigjf/alma991003348699706708","07 B-54/1/1-36")</f>
        <v>07 B-54/1/1-36</v>
      </c>
      <c r="F111" s="3" t="s">
        <v>207</v>
      </c>
      <c r="G111" s="2" t="s">
        <v>24</v>
      </c>
      <c r="H111" s="2" t="s">
        <v>208</v>
      </c>
      <c r="I111" s="9"/>
      <c r="J111" s="9"/>
      <c r="K111" s="9"/>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row>
    <row r="112" spans="1:57" s="13" customFormat="1" ht="38.25" x14ac:dyDescent="0.2">
      <c r="A112" s="28" t="s">
        <v>202</v>
      </c>
      <c r="B112" s="2" t="s">
        <v>209</v>
      </c>
      <c r="C112" s="2">
        <v>1713</v>
      </c>
      <c r="D112" s="2" t="s">
        <v>22</v>
      </c>
      <c r="E112" s="6" t="str">
        <f>HYPERLINK("https://csuc-ub.primo.exlibrisgroup.com/permalink/34CSUC_UB/1eiigjf/alma991003348809706708","07 B-54/1/1-37")</f>
        <v>07 B-54/1/1-37</v>
      </c>
      <c r="F112" s="3" t="s">
        <v>102</v>
      </c>
      <c r="G112" s="2" t="s">
        <v>24</v>
      </c>
      <c r="H112" s="2" t="s">
        <v>47</v>
      </c>
      <c r="I112" s="9"/>
      <c r="J112" s="9"/>
      <c r="K112" s="9"/>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row>
    <row r="113" spans="1:57" s="13" customFormat="1" ht="38.25" x14ac:dyDescent="0.2">
      <c r="A113" s="2" t="s">
        <v>200</v>
      </c>
      <c r="B113" s="2" t="s">
        <v>210</v>
      </c>
      <c r="C113" s="2">
        <v>1713</v>
      </c>
      <c r="D113" s="2" t="s">
        <v>22</v>
      </c>
      <c r="E113" s="6" t="str">
        <f>HYPERLINK("https://csuc-ub.primo.exlibrisgroup.com/permalink/34CSUC_UB/1eiigjf/alma991003348889706708","07 B-54/1/1-38")</f>
        <v>07 B-54/1/1-38</v>
      </c>
      <c r="F113" s="3" t="s">
        <v>102</v>
      </c>
      <c r="G113" s="2" t="s">
        <v>24</v>
      </c>
      <c r="H113" s="2" t="s">
        <v>47</v>
      </c>
      <c r="I113" s="9"/>
      <c r="J113" s="9"/>
      <c r="K113" s="9"/>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row>
    <row r="114" spans="1:57" s="13" customFormat="1" ht="38.25" x14ac:dyDescent="0.2">
      <c r="A114" s="28" t="s">
        <v>202</v>
      </c>
      <c r="B114" s="2" t="s">
        <v>211</v>
      </c>
      <c r="C114" s="2">
        <v>1713</v>
      </c>
      <c r="D114" s="2" t="s">
        <v>22</v>
      </c>
      <c r="E114" s="6" t="str">
        <f>HYPERLINK("https://csuc-ub.primo.exlibrisgroup.com/permalink/34CSUC_UB/1eiigjf/alma991003349589706708","07 B-54/1/1-39")</f>
        <v>07 B-54/1/1-39</v>
      </c>
      <c r="F114" s="3" t="s">
        <v>102</v>
      </c>
      <c r="G114" s="2" t="s">
        <v>24</v>
      </c>
      <c r="H114" s="2" t="s">
        <v>13</v>
      </c>
      <c r="I114" s="8"/>
      <c r="J114" s="8"/>
      <c r="K114" s="9"/>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row>
    <row r="115" spans="1:57" s="13" customFormat="1" ht="38.25" x14ac:dyDescent="0.2">
      <c r="A115" s="28" t="s">
        <v>202</v>
      </c>
      <c r="B115" s="2" t="s">
        <v>212</v>
      </c>
      <c r="C115" s="2">
        <v>1713</v>
      </c>
      <c r="D115" s="2" t="s">
        <v>22</v>
      </c>
      <c r="E115" s="6" t="str">
        <f>HYPERLINK("https://csuc-ub.primo.exlibrisgroup.com/permalink/34CSUC_UB/1eiigjf/alma991003349649706708","07 B-54/1/1-40")</f>
        <v>07 B-54/1/1-40</v>
      </c>
      <c r="F115" s="3" t="s">
        <v>102</v>
      </c>
      <c r="G115" s="2" t="s">
        <v>24</v>
      </c>
      <c r="H115" s="2" t="s">
        <v>47</v>
      </c>
      <c r="I115" s="9"/>
      <c r="J115" s="9"/>
      <c r="K115" s="9"/>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row>
    <row r="116" spans="1:57" s="13" customFormat="1" ht="51" x14ac:dyDescent="0.2">
      <c r="A116" s="28" t="s">
        <v>202</v>
      </c>
      <c r="B116" s="2" t="s">
        <v>213</v>
      </c>
      <c r="C116" s="2">
        <v>1713</v>
      </c>
      <c r="D116" s="2" t="s">
        <v>22</v>
      </c>
      <c r="E116" s="6" t="str">
        <f>HYPERLINK("https://csuc-ub.primo.exlibrisgroup.com/permalink/34CSUC_UB/1eiigjf/alma991003349899706708","07 B-54/1/1-41")</f>
        <v>07 B-54/1/1-41</v>
      </c>
      <c r="F116" s="3" t="s">
        <v>102</v>
      </c>
      <c r="G116" s="2" t="s">
        <v>24</v>
      </c>
      <c r="H116" s="2" t="s">
        <v>47</v>
      </c>
      <c r="I116" s="9"/>
      <c r="J116" s="9"/>
      <c r="K116" s="9"/>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row>
    <row r="117" spans="1:57" s="13" customFormat="1" ht="38.25" x14ac:dyDescent="0.2">
      <c r="A117" s="1"/>
      <c r="B117" s="2" t="s">
        <v>214</v>
      </c>
      <c r="C117" s="2">
        <v>1713</v>
      </c>
      <c r="D117" s="2" t="s">
        <v>215</v>
      </c>
      <c r="E117" s="6" t="str">
        <f>HYPERLINK("https://csuc-ub.primo.exlibrisgroup.com/permalink/34CSUC_UB/1eiigjf/alma991005485069706708","07 B-56/7/32")</f>
        <v>07 B-56/7/32</v>
      </c>
      <c r="F117" s="5"/>
      <c r="G117" s="2" t="s">
        <v>24</v>
      </c>
      <c r="H117" s="2" t="s">
        <v>42</v>
      </c>
      <c r="I117" s="9"/>
      <c r="J117" s="9"/>
      <c r="K117" s="9"/>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row>
    <row r="118" spans="1:57" s="13" customFormat="1" ht="25.5" x14ac:dyDescent="0.2">
      <c r="A118" s="1"/>
      <c r="B118" s="2" t="s">
        <v>216</v>
      </c>
      <c r="C118" s="2">
        <v>1713</v>
      </c>
      <c r="D118" s="2" t="s">
        <v>217</v>
      </c>
      <c r="E118" s="6" t="str">
        <f>HYPERLINK("https://csuc-ub.primo.exlibrisgroup.com/permalink/34CSUC_UB/1eiigjf/alma991001666389706708","07 B-65/4/1-18")</f>
        <v>07 B-65/4/1-18</v>
      </c>
      <c r="F118" s="3" t="s">
        <v>178</v>
      </c>
      <c r="G118" s="2" t="s">
        <v>24</v>
      </c>
      <c r="H118" s="2" t="s">
        <v>89</v>
      </c>
      <c r="I118" s="8"/>
      <c r="J118" s="9"/>
      <c r="K118" s="9"/>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row>
    <row r="119" spans="1:57" s="13" customFormat="1" ht="25.5" x14ac:dyDescent="0.2">
      <c r="A119" s="2" t="s">
        <v>20</v>
      </c>
      <c r="B119" s="2" t="s">
        <v>218</v>
      </c>
      <c r="C119" s="2">
        <v>1713</v>
      </c>
      <c r="D119" s="2" t="s">
        <v>22</v>
      </c>
      <c r="E119" s="6" t="str">
        <f>HYPERLINK("https://csuc-ub.primo.exlibrisgroup.com/permalink/34CSUC_UB/1eiigjf/alma991001849929706708","07 C-240/1/3-18")</f>
        <v>07 C-240/1/3-18</v>
      </c>
      <c r="F119" s="3" t="s">
        <v>107</v>
      </c>
      <c r="G119" s="2" t="s">
        <v>24</v>
      </c>
      <c r="H119" s="2" t="s">
        <v>47</v>
      </c>
      <c r="I119" s="9"/>
      <c r="J119" s="9"/>
      <c r="K119" s="9"/>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row>
    <row r="120" spans="1:57" s="13" customFormat="1" ht="38.25" x14ac:dyDescent="0.2">
      <c r="A120" s="2" t="s">
        <v>67</v>
      </c>
      <c r="B120" s="2" t="s">
        <v>219</v>
      </c>
      <c r="C120" s="2">
        <v>1714</v>
      </c>
      <c r="D120" s="2" t="s">
        <v>22</v>
      </c>
      <c r="E120" s="6" t="str">
        <f>HYPERLINK("https://csuc-ub.primo.exlibrisgroup.com/permalink/34CSUC_UB/1eiigjf/alma991002379579706708","07 B-38/4/2-28")</f>
        <v>07 B-38/4/2-28</v>
      </c>
      <c r="F120" s="3" t="s">
        <v>69</v>
      </c>
      <c r="G120" s="2" t="s">
        <v>24</v>
      </c>
      <c r="H120" s="2" t="s">
        <v>124</v>
      </c>
      <c r="I120" s="8"/>
      <c r="J120" s="8"/>
      <c r="K120" s="9"/>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row>
    <row r="121" spans="1:57" s="13" customFormat="1" ht="38.25" x14ac:dyDescent="0.2">
      <c r="A121" s="2" t="s">
        <v>67</v>
      </c>
      <c r="B121" s="2" t="s">
        <v>220</v>
      </c>
      <c r="C121" s="2">
        <v>1714</v>
      </c>
      <c r="D121" s="2" t="s">
        <v>22</v>
      </c>
      <c r="E121" s="6" t="str">
        <f>HYPERLINK("https://csuc-ub.primo.exlibrisgroup.com/permalink/34CSUC_UB/1eiigjf/alma991002380349706708","07 B-38/4/2-38")</f>
        <v>07 B-38/4/2-38</v>
      </c>
      <c r="F121" s="3" t="s">
        <v>69</v>
      </c>
      <c r="G121" s="2" t="s">
        <v>24</v>
      </c>
      <c r="H121" s="2" t="s">
        <v>221</v>
      </c>
      <c r="I121" s="9"/>
      <c r="J121" s="9"/>
      <c r="K121" s="9"/>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row>
    <row r="122" spans="1:57" s="13" customFormat="1" ht="38.25" x14ac:dyDescent="0.2">
      <c r="A122" s="2" t="s">
        <v>67</v>
      </c>
      <c r="B122" s="2" t="s">
        <v>222</v>
      </c>
      <c r="C122" s="2">
        <v>1714</v>
      </c>
      <c r="D122" s="2" t="s">
        <v>22</v>
      </c>
      <c r="E122" s="6" t="str">
        <f>HYPERLINK("https://csuc-ub.primo.exlibrisgroup.com/permalink/34CSUC_UB/1eiigjf/alma991002380409706708","07 B-38/4/2-39")</f>
        <v>07 B-38/4/2-39</v>
      </c>
      <c r="F122" s="3" t="s">
        <v>69</v>
      </c>
      <c r="G122" s="2" t="s">
        <v>24</v>
      </c>
      <c r="H122" s="2" t="s">
        <v>223</v>
      </c>
      <c r="I122" s="9"/>
      <c r="J122" s="9"/>
      <c r="K122" s="9"/>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row>
    <row r="123" spans="1:57" s="13" customFormat="1" ht="38.25" x14ac:dyDescent="0.2">
      <c r="A123" s="2" t="s">
        <v>224</v>
      </c>
      <c r="B123" s="2" t="s">
        <v>225</v>
      </c>
      <c r="C123" s="2">
        <v>1714</v>
      </c>
      <c r="D123" s="2" t="s">
        <v>22</v>
      </c>
      <c r="E123" s="6" t="str">
        <f>HYPERLINK("https://csuc-ub.primo.exlibrisgroup.com/permalink/34CSUC_UB/1eiigjf/alma991002382919706708","07 B-38/4/2-56")</f>
        <v>07 B-38/4/2-56</v>
      </c>
      <c r="F123" s="3" t="s">
        <v>69</v>
      </c>
      <c r="G123" s="2" t="s">
        <v>24</v>
      </c>
      <c r="H123" s="2" t="s">
        <v>124</v>
      </c>
      <c r="I123" s="9"/>
      <c r="J123" s="9"/>
      <c r="K123" s="9"/>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row>
    <row r="124" spans="1:57" s="13" customFormat="1" ht="38.25" x14ac:dyDescent="0.2">
      <c r="A124" s="2" t="s">
        <v>226</v>
      </c>
      <c r="B124" s="2" t="s">
        <v>227</v>
      </c>
      <c r="C124" s="2">
        <v>1714</v>
      </c>
      <c r="D124" s="2" t="s">
        <v>22</v>
      </c>
      <c r="E124" s="6" t="str">
        <f>HYPERLINK("https://csuc-ub.primo.exlibrisgroup.com/permalink/34CSUC_UB/1eiigjf/alma991003349939706708","07 B-54/1/1-42")</f>
        <v>07 B-54/1/1-42</v>
      </c>
      <c r="F124" s="3" t="s">
        <v>228</v>
      </c>
      <c r="G124" s="2" t="s">
        <v>24</v>
      </c>
      <c r="H124" s="2" t="s">
        <v>229</v>
      </c>
      <c r="I124" s="9"/>
      <c r="J124" s="9"/>
      <c r="K124" s="9"/>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row>
    <row r="125" spans="1:57" s="13" customFormat="1" ht="51" x14ac:dyDescent="0.2">
      <c r="A125" s="28" t="s">
        <v>202</v>
      </c>
      <c r="B125" s="2" t="s">
        <v>230</v>
      </c>
      <c r="C125" s="2">
        <v>1714</v>
      </c>
      <c r="D125" s="2" t="s">
        <v>22</v>
      </c>
      <c r="E125" s="6" t="str">
        <f>HYPERLINK("https://csuc-ub.primo.exlibrisgroup.com/permalink/34CSUC_UB/1eiigjf/alma991003351809706708","07 B-54/1/1-43")</f>
        <v>07 B-54/1/1-43</v>
      </c>
      <c r="F125" s="3" t="s">
        <v>102</v>
      </c>
      <c r="G125" s="2" t="s">
        <v>24</v>
      </c>
      <c r="H125" s="2" t="s">
        <v>47</v>
      </c>
      <c r="I125" s="9"/>
      <c r="J125" s="9"/>
      <c r="K125" s="9"/>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row>
    <row r="126" spans="1:57" s="13" customFormat="1" ht="51" x14ac:dyDescent="0.2">
      <c r="A126" s="28" t="s">
        <v>202</v>
      </c>
      <c r="B126" s="2" t="s">
        <v>231</v>
      </c>
      <c r="C126" s="2">
        <v>1714</v>
      </c>
      <c r="D126" s="2" t="s">
        <v>22</v>
      </c>
      <c r="E126" s="6" t="str">
        <f>HYPERLINK("https://csuc-ub.primo.exlibrisgroup.com/permalink/34CSUC_UB/1eiigjf/alma991003350519706708","07 B-54/1/1-44")</f>
        <v>07 B-54/1/1-44</v>
      </c>
      <c r="F126" s="3" t="s">
        <v>102</v>
      </c>
      <c r="G126" s="2" t="s">
        <v>24</v>
      </c>
      <c r="H126" s="2" t="s">
        <v>47</v>
      </c>
      <c r="I126" s="9"/>
      <c r="J126" s="9"/>
      <c r="K126" s="9"/>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row>
    <row r="127" spans="1:57" s="13" customFormat="1" ht="38.25" x14ac:dyDescent="0.2">
      <c r="A127" s="2" t="s">
        <v>232</v>
      </c>
      <c r="B127" s="2" t="s">
        <v>233</v>
      </c>
      <c r="C127" s="2">
        <v>1714</v>
      </c>
      <c r="D127" s="2" t="s">
        <v>22</v>
      </c>
      <c r="E127" s="6" t="str">
        <f>HYPERLINK("https://csuc-ub.primo.exlibrisgroup.com/permalink/34CSUC_UB/1eiigjf/alma991001850529706708","07 B-54/1/1-45")</f>
        <v>07 B-54/1/1-45</v>
      </c>
      <c r="F127" s="3" t="s">
        <v>50</v>
      </c>
      <c r="G127" s="2" t="s">
        <v>24</v>
      </c>
      <c r="H127" s="2" t="s">
        <v>47</v>
      </c>
      <c r="I127" s="9"/>
      <c r="J127" s="9"/>
      <c r="K127" s="9"/>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row>
    <row r="128" spans="1:57" s="13" customFormat="1" ht="38.25" x14ac:dyDescent="0.2">
      <c r="A128" s="28" t="s">
        <v>202</v>
      </c>
      <c r="B128" s="2" t="s">
        <v>234</v>
      </c>
      <c r="C128" s="2">
        <v>1714</v>
      </c>
      <c r="D128" s="2" t="s">
        <v>22</v>
      </c>
      <c r="E128" s="6" t="str">
        <f>HYPERLINK("https://csuc-ub.primo.exlibrisgroup.com/permalink/34CSUC_UB/1eiigjf/alma991003350579706708","07 B-54/1/1-48")</f>
        <v>07 B-54/1/1-48</v>
      </c>
      <c r="F128" s="3" t="s">
        <v>102</v>
      </c>
      <c r="G128" s="2" t="s">
        <v>24</v>
      </c>
      <c r="H128" s="2" t="s">
        <v>47</v>
      </c>
      <c r="I128" s="9"/>
      <c r="J128" s="9"/>
      <c r="K128" s="9"/>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row>
    <row r="129" spans="1:57" s="13" customFormat="1" ht="38.25" x14ac:dyDescent="0.2">
      <c r="A129" s="2" t="s">
        <v>235</v>
      </c>
      <c r="B129" s="2" t="s">
        <v>236</v>
      </c>
      <c r="C129" s="2">
        <v>1714</v>
      </c>
      <c r="D129" s="2" t="s">
        <v>22</v>
      </c>
      <c r="E129" s="6" t="str">
        <f>HYPERLINK("https://csuc-ub.primo.exlibrisgroup.com/permalink/34CSUC_UB/1eiigjf/alma991003350649706708","07 B-54/1/1-49")</f>
        <v>07 B-54/1/1-49</v>
      </c>
      <c r="F129" s="3" t="s">
        <v>102</v>
      </c>
      <c r="G129" s="2" t="s">
        <v>24</v>
      </c>
      <c r="H129" s="2" t="s">
        <v>47</v>
      </c>
      <c r="I129" s="9"/>
      <c r="J129" s="9"/>
      <c r="K129" s="9"/>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row>
    <row r="130" spans="1:57" s="13" customFormat="1" ht="38.25" x14ac:dyDescent="0.2">
      <c r="A130" s="28" t="s">
        <v>202</v>
      </c>
      <c r="B130" s="2" t="s">
        <v>237</v>
      </c>
      <c r="C130" s="2">
        <v>1714</v>
      </c>
      <c r="D130" s="2" t="s">
        <v>22</v>
      </c>
      <c r="E130" s="6" t="str">
        <f>HYPERLINK("https://csuc-ub.primo.exlibrisgroup.com/permalink/34CSUC_UB/1eiigjf/alma991003350739706708","07 B-54/1/1-50")</f>
        <v>07 B-54/1/1-50</v>
      </c>
      <c r="F130" s="3" t="s">
        <v>102</v>
      </c>
      <c r="G130" s="2" t="s">
        <v>24</v>
      </c>
      <c r="H130" s="2" t="s">
        <v>47</v>
      </c>
      <c r="I130" s="9"/>
      <c r="J130" s="9"/>
      <c r="K130" s="9"/>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row>
    <row r="131" spans="1:57" s="13" customFormat="1" ht="38.25" x14ac:dyDescent="0.2">
      <c r="A131" s="28" t="s">
        <v>202</v>
      </c>
      <c r="B131" s="2" t="s">
        <v>238</v>
      </c>
      <c r="C131" s="2">
        <v>1714</v>
      </c>
      <c r="D131" s="2" t="s">
        <v>22</v>
      </c>
      <c r="E131" s="6" t="str">
        <f>HYPERLINK("https://csuc-ub.primo.exlibrisgroup.com/permalink/34CSUC_UB/1eiigjf/alma991003350779706708","07 B-54/1/1-51")</f>
        <v>07 B-54/1/1-51</v>
      </c>
      <c r="F131" s="3" t="s">
        <v>102</v>
      </c>
      <c r="G131" s="2" t="s">
        <v>24</v>
      </c>
      <c r="H131" s="2" t="s">
        <v>47</v>
      </c>
      <c r="I131" s="9"/>
      <c r="J131" s="9"/>
      <c r="K131" s="9"/>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row>
    <row r="132" spans="1:57" s="13" customFormat="1" ht="38.25" x14ac:dyDescent="0.2">
      <c r="A132" s="28" t="s">
        <v>202</v>
      </c>
      <c r="B132" s="2" t="s">
        <v>239</v>
      </c>
      <c r="C132" s="2">
        <v>1714</v>
      </c>
      <c r="D132" s="2" t="s">
        <v>22</v>
      </c>
      <c r="E132" s="6" t="str">
        <f>HYPERLINK("https://csuc-ub.primo.exlibrisgroup.com/permalink/34CSUC_UB/1eiigjf/alma991003350899706708","07 B-54/1/1-52")</f>
        <v>07 B-54/1/1-52</v>
      </c>
      <c r="F132" s="3" t="s">
        <v>102</v>
      </c>
      <c r="G132" s="2" t="s">
        <v>24</v>
      </c>
      <c r="H132" s="2" t="s">
        <v>47</v>
      </c>
      <c r="I132" s="9"/>
      <c r="J132" s="9"/>
      <c r="K132" s="9"/>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row>
    <row r="133" spans="1:57" s="13" customFormat="1" ht="38.25" x14ac:dyDescent="0.2">
      <c r="A133" s="28" t="s">
        <v>202</v>
      </c>
      <c r="B133" s="2" t="s">
        <v>240</v>
      </c>
      <c r="C133" s="2">
        <v>1714</v>
      </c>
      <c r="D133" s="2" t="s">
        <v>22</v>
      </c>
      <c r="E133" s="6" t="str">
        <f>HYPERLINK("https://csuc-ub.primo.exlibrisgroup.com/permalink/34CSUC_UB/1eiigjf/alma991003350939706708","07 B-54/1/1-53")</f>
        <v>07 B-54/1/1-53</v>
      </c>
      <c r="F133" s="3" t="s">
        <v>69</v>
      </c>
      <c r="G133" s="2" t="s">
        <v>24</v>
      </c>
      <c r="H133" s="2" t="s">
        <v>47</v>
      </c>
      <c r="I133" s="9"/>
      <c r="J133" s="9"/>
      <c r="K133" s="9"/>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row>
    <row r="134" spans="1:57" s="13" customFormat="1" ht="51" x14ac:dyDescent="0.2">
      <c r="A134" s="2" t="s">
        <v>241</v>
      </c>
      <c r="B134" s="2" t="s">
        <v>242</v>
      </c>
      <c r="C134" s="2">
        <v>1714</v>
      </c>
      <c r="D134" s="2" t="s">
        <v>22</v>
      </c>
      <c r="E134" s="6" t="str">
        <f>HYPERLINK("https://csuc-ub.primo.exlibrisgroup.com/permalink/34CSUC_UB/1eiigjf/alma991003350979706708","07 B-54/1/1-54")</f>
        <v>07 B-54/1/1-54</v>
      </c>
      <c r="F134" s="3" t="s">
        <v>102</v>
      </c>
      <c r="G134" s="2" t="s">
        <v>24</v>
      </c>
      <c r="H134" s="2" t="s">
        <v>13</v>
      </c>
      <c r="I134" s="8"/>
      <c r="J134" s="8"/>
      <c r="K134" s="9"/>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row>
    <row r="135" spans="1:57" s="13" customFormat="1" ht="38.25" x14ac:dyDescent="0.2">
      <c r="A135" s="2" t="s">
        <v>61</v>
      </c>
      <c r="B135" s="2" t="s">
        <v>243</v>
      </c>
      <c r="C135" s="2">
        <v>1714</v>
      </c>
      <c r="D135" s="2" t="s">
        <v>22</v>
      </c>
      <c r="E135" s="6" t="str">
        <f>HYPERLINK("https://csuc-ub.primo.exlibrisgroup.com/permalink/34CSUC_UB/1eiigjf/alma991001850409706708","07 C-240/1/3-19")</f>
        <v>07 C-240/1/3-19</v>
      </c>
      <c r="F135" s="3" t="s">
        <v>50</v>
      </c>
      <c r="G135" s="2" t="s">
        <v>24</v>
      </c>
      <c r="H135" s="2" t="s">
        <v>47</v>
      </c>
      <c r="I135" s="9"/>
      <c r="J135" s="9"/>
      <c r="K135" s="9"/>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row>
    <row r="136" spans="1:57" s="13" customFormat="1" ht="38.25" x14ac:dyDescent="0.2">
      <c r="A136" s="2" t="s">
        <v>61</v>
      </c>
      <c r="B136" s="2" t="s">
        <v>244</v>
      </c>
      <c r="C136" s="2">
        <v>1714</v>
      </c>
      <c r="D136" s="2" t="s">
        <v>22</v>
      </c>
      <c r="E136" s="6" t="str">
        <f>HYPERLINK("https://csuc-ub.primo.exlibrisgroup.com/permalink/34CSUC_UB/1eiigjf/alma991001850469706708","07 C-240/1/3-20")</f>
        <v>07 C-240/1/3-20</v>
      </c>
      <c r="F136" s="3" t="s">
        <v>50</v>
      </c>
      <c r="G136" s="2" t="s">
        <v>24</v>
      </c>
      <c r="H136" s="2" t="s">
        <v>47</v>
      </c>
      <c r="I136" s="9"/>
      <c r="J136" s="9"/>
      <c r="K136" s="9"/>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row>
    <row r="137" spans="1:57" s="13" customFormat="1" ht="38.25" x14ac:dyDescent="0.2">
      <c r="A137" s="2" t="s">
        <v>61</v>
      </c>
      <c r="B137" s="2" t="s">
        <v>245</v>
      </c>
      <c r="C137" s="2">
        <v>1714</v>
      </c>
      <c r="D137" s="2" t="s">
        <v>22</v>
      </c>
      <c r="E137" s="6" t="str">
        <f>HYPERLINK("https://csuc-ub.primo.exlibrisgroup.com/permalink/34CSUC_UB/1eiigjf/alma991001850529706708","07 C-240/1/3-21")</f>
        <v>07 C-240/1/3-21</v>
      </c>
      <c r="F137" s="3" t="s">
        <v>50</v>
      </c>
      <c r="G137" s="2" t="s">
        <v>24</v>
      </c>
      <c r="H137" s="2" t="s">
        <v>47</v>
      </c>
      <c r="I137" s="9"/>
      <c r="J137" s="9"/>
      <c r="K137" s="9"/>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row>
    <row r="138" spans="1:57" s="13" customFormat="1" ht="51" x14ac:dyDescent="0.2">
      <c r="A138" s="2" t="s">
        <v>246</v>
      </c>
      <c r="B138" s="2" t="s">
        <v>247</v>
      </c>
      <c r="C138" s="1">
        <v>1714</v>
      </c>
      <c r="D138" s="2" t="s">
        <v>22</v>
      </c>
      <c r="E138" s="6" t="str">
        <f>HYPERLINK("https://csuc-ub.primo.exlibrisgroup.com/permalink/34CSUC_UB/1eiigjf/alma991003230219706708","07 Ms 1970 Imp 11")</f>
        <v>07 Ms 1970 Imp 11</v>
      </c>
      <c r="F138" s="1" t="s">
        <v>248</v>
      </c>
      <c r="G138" s="2" t="s">
        <v>24</v>
      </c>
      <c r="H138" s="2" t="s">
        <v>73</v>
      </c>
      <c r="I138" s="9"/>
      <c r="J138" s="9"/>
      <c r="K138" s="9"/>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row>
    <row r="139" spans="1:57" s="13" customFormat="1" ht="63.75" x14ac:dyDescent="0.2">
      <c r="A139" s="2" t="s">
        <v>249</v>
      </c>
      <c r="B139" s="2" t="s">
        <v>250</v>
      </c>
      <c r="C139" s="1">
        <v>1714</v>
      </c>
      <c r="D139" s="2" t="s">
        <v>22</v>
      </c>
      <c r="E139" s="6" t="str">
        <f>HYPERLINK("https://csuc-ub.primo.exlibrisgroup.com/permalink/34CSUC_UB/1eiigjf/alma991010464689706708","07 Ms 1974 Imp 3")</f>
        <v>07 Ms 1974 Imp 3</v>
      </c>
      <c r="F139" s="1" t="s">
        <v>69</v>
      </c>
      <c r="G139" s="2" t="s">
        <v>24</v>
      </c>
      <c r="H139" s="2" t="s">
        <v>251</v>
      </c>
      <c r="I139" s="9"/>
      <c r="J139" s="9"/>
      <c r="K139" s="9"/>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row>
    <row r="140" spans="1:57" s="13" customFormat="1" ht="51" x14ac:dyDescent="0.2">
      <c r="A140" s="2" t="s">
        <v>249</v>
      </c>
      <c r="B140" s="2" t="s">
        <v>252</v>
      </c>
      <c r="C140" s="1">
        <v>1714</v>
      </c>
      <c r="D140" s="2" t="s">
        <v>22</v>
      </c>
      <c r="E140" s="6" t="str">
        <f>HYPERLINK("https://csuc-ub.primo.exlibrisgroup.com/permalink/34CSUC_UB/1eiigjf/alma991010464829706708","07 Ms 1974 Imp 4")</f>
        <v>07 Ms 1974 Imp 4</v>
      </c>
      <c r="F140" s="1" t="s">
        <v>69</v>
      </c>
      <c r="G140" s="2" t="s">
        <v>24</v>
      </c>
      <c r="H140" s="2" t="s">
        <v>253</v>
      </c>
      <c r="I140" s="9"/>
      <c r="J140" s="9"/>
      <c r="K140" s="9"/>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row>
    <row r="141" spans="1:57" s="13" customFormat="1" ht="63.75" x14ac:dyDescent="0.2">
      <c r="A141" s="2" t="s">
        <v>249</v>
      </c>
      <c r="B141" s="2" t="s">
        <v>254</v>
      </c>
      <c r="C141" s="1">
        <v>1714</v>
      </c>
      <c r="D141" s="2" t="s">
        <v>22</v>
      </c>
      <c r="E141" s="6" t="str">
        <f>HYPERLINK("https://csuc-ub.primo.exlibrisgroup.com/permalink/34CSUC_UB/1eiigjf/alma991010466179706708","07 Ms 1974 Imp 5")</f>
        <v>07 Ms 1974 Imp 5</v>
      </c>
      <c r="F141" s="1" t="s">
        <v>69</v>
      </c>
      <c r="G141" s="2" t="s">
        <v>24</v>
      </c>
      <c r="H141" s="2" t="s">
        <v>255</v>
      </c>
      <c r="I141" s="9"/>
      <c r="J141" s="9"/>
      <c r="K141" s="9"/>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row>
    <row r="142" spans="1:57" s="13" customFormat="1" ht="25.5" x14ac:dyDescent="0.2">
      <c r="A142" s="2" t="s">
        <v>202</v>
      </c>
      <c r="B142" s="2" t="s">
        <v>256</v>
      </c>
      <c r="C142" s="2">
        <v>1714</v>
      </c>
      <c r="D142" s="2" t="s">
        <v>22</v>
      </c>
      <c r="E142" s="6" t="str">
        <f>HYPERLINK("https://csuc-ub.primo.exlibrisgroup.com/permalink/34CSUC_UB/1eiigjf/alma991007923399706708","07 XVII-8907-57")</f>
        <v>07 XVII-8907-57</v>
      </c>
      <c r="F142" s="3" t="s">
        <v>102</v>
      </c>
      <c r="G142" s="2" t="s">
        <v>24</v>
      </c>
      <c r="H142" s="2" t="s">
        <v>13</v>
      </c>
      <c r="I142" s="9"/>
      <c r="J142" s="8"/>
      <c r="K142" s="9"/>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row>
    <row r="143" spans="1:57" s="13" customFormat="1" ht="38.25" x14ac:dyDescent="0.2">
      <c r="A143" s="1"/>
      <c r="B143" s="2" t="s">
        <v>257</v>
      </c>
      <c r="C143" s="2">
        <v>1714</v>
      </c>
      <c r="D143" s="2" t="s">
        <v>258</v>
      </c>
      <c r="E143" s="6" t="str">
        <f>HYPERLINK("https://csuc-ub.primo.exlibrisgroup.com/permalink/34CSUC_UB/1eiigjf/alma991002231519706708","07 XVIII-6163-5")</f>
        <v>07 XVIII-6163-5</v>
      </c>
      <c r="F143" s="3" t="s">
        <v>33</v>
      </c>
      <c r="G143" s="2" t="s">
        <v>24</v>
      </c>
      <c r="H143" s="2" t="s">
        <v>28</v>
      </c>
      <c r="I143" s="9"/>
      <c r="J143" s="9"/>
      <c r="K143" s="9"/>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row>
    <row r="144" spans="1:57" s="13" customFormat="1" ht="38.25" x14ac:dyDescent="0.2">
      <c r="A144" s="2" t="s">
        <v>67</v>
      </c>
      <c r="B144" s="2" t="s">
        <v>259</v>
      </c>
      <c r="C144" s="2">
        <v>1715</v>
      </c>
      <c r="D144" s="2" t="s">
        <v>22</v>
      </c>
      <c r="E144" s="6" t="str">
        <f>HYPERLINK("https://csuc-ub.primo.exlibrisgroup.com/permalink/34CSUC_UB/1eiigjf/alma991002379639706708","07 B-38/4/2-30")</f>
        <v>07 B-38/4/2-30</v>
      </c>
      <c r="F144" s="3" t="s">
        <v>69</v>
      </c>
      <c r="G144" s="2" t="s">
        <v>24</v>
      </c>
      <c r="H144" s="2" t="s">
        <v>70</v>
      </c>
      <c r="I144" s="9"/>
      <c r="J144" s="9"/>
      <c r="K144" s="9"/>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row>
    <row r="145" spans="1:57" s="13" customFormat="1" ht="25.5" x14ac:dyDescent="0.2">
      <c r="A145" s="2" t="s">
        <v>67</v>
      </c>
      <c r="B145" s="2" t="s">
        <v>260</v>
      </c>
      <c r="C145" s="2">
        <v>1715</v>
      </c>
      <c r="D145" s="2" t="s">
        <v>22</v>
      </c>
      <c r="E145" s="6" t="str">
        <f>HYPERLINK("https://csuc-ub.primo.exlibrisgroup.com/permalink/34CSUC_UB/1eiigjf/alma991002380489706708","07 B-38/4/2-40")</f>
        <v>07 B-38/4/2-40</v>
      </c>
      <c r="F145" s="3" t="s">
        <v>69</v>
      </c>
      <c r="G145" s="2" t="s">
        <v>24</v>
      </c>
      <c r="H145" s="2" t="s">
        <v>261</v>
      </c>
      <c r="I145" s="9"/>
      <c r="J145" s="9"/>
      <c r="K145" s="9"/>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row>
    <row r="146" spans="1:57" s="13" customFormat="1" ht="38.25" x14ac:dyDescent="0.2">
      <c r="A146" s="2" t="s">
        <v>67</v>
      </c>
      <c r="B146" s="2" t="s">
        <v>262</v>
      </c>
      <c r="C146" s="2">
        <v>1715</v>
      </c>
      <c r="D146" s="2" t="s">
        <v>22</v>
      </c>
      <c r="E146" s="6" t="str">
        <f>HYPERLINK("https://csuc-ub.primo.exlibrisgroup.com/permalink/34CSUC_UB/1eiigjf/alma991002382619706708","07 B-38/4/2-49")</f>
        <v>07 B-38/4/2-49</v>
      </c>
      <c r="F146" s="3" t="s">
        <v>69</v>
      </c>
      <c r="G146" s="2" t="s">
        <v>24</v>
      </c>
      <c r="H146" s="2" t="s">
        <v>263</v>
      </c>
      <c r="I146" s="9"/>
      <c r="J146" s="9"/>
      <c r="K146" s="9"/>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row>
    <row r="147" spans="1:57" s="13" customFormat="1" ht="25.5" x14ac:dyDescent="0.2">
      <c r="A147" s="2" t="s">
        <v>67</v>
      </c>
      <c r="B147" s="2" t="s">
        <v>264</v>
      </c>
      <c r="C147" s="2">
        <v>1715</v>
      </c>
      <c r="D147" s="2" t="s">
        <v>22</v>
      </c>
      <c r="E147" s="6" t="str">
        <f>HYPERLINK("https://csuc-ub.primo.exlibrisgroup.com/permalink/34CSUC_UB/1eiigjf/alma991002024579706708","07 B-39/2/10-10")</f>
        <v>07 B-39/2/10-10</v>
      </c>
      <c r="F147" s="3" t="s">
        <v>69</v>
      </c>
      <c r="G147" s="2" t="s">
        <v>24</v>
      </c>
      <c r="H147" s="2" t="s">
        <v>70</v>
      </c>
      <c r="I147" s="8"/>
      <c r="J147" s="9"/>
      <c r="K147" s="9"/>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c r="AY147" s="14"/>
      <c r="AZ147" s="14"/>
      <c r="BA147" s="14"/>
      <c r="BB147" s="14"/>
      <c r="BC147" s="14"/>
      <c r="BD147" s="14"/>
      <c r="BE147" s="14"/>
    </row>
    <row r="148" spans="1:57" s="13" customFormat="1" ht="38.25" x14ac:dyDescent="0.2">
      <c r="A148" s="2" t="s">
        <v>67</v>
      </c>
      <c r="B148" s="2" t="s">
        <v>265</v>
      </c>
      <c r="C148" s="2">
        <v>1715</v>
      </c>
      <c r="D148" s="2" t="s">
        <v>22</v>
      </c>
      <c r="E148" s="6" t="str">
        <f>HYPERLINK("https://csuc-ub.primo.exlibrisgroup.com/permalink/34CSUC_UB/1eiigjf/alma991003385599706708","07 Ms 1969 Imp 6")</f>
        <v>07 Ms 1969 Imp 6</v>
      </c>
      <c r="F148" s="3" t="s">
        <v>69</v>
      </c>
      <c r="G148" s="2" t="s">
        <v>24</v>
      </c>
      <c r="H148" s="2" t="s">
        <v>266</v>
      </c>
      <c r="I148" s="9"/>
      <c r="J148" s="9"/>
      <c r="K148" s="9"/>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row>
    <row r="149" spans="1:57" s="13" customFormat="1" ht="38.25" x14ac:dyDescent="0.2">
      <c r="A149" s="2" t="s">
        <v>267</v>
      </c>
      <c r="B149" s="2" t="s">
        <v>268</v>
      </c>
      <c r="C149" s="1">
        <v>1715</v>
      </c>
      <c r="D149" s="2" t="s">
        <v>22</v>
      </c>
      <c r="E149" s="6" t="str">
        <f>HYPERLINK("https://csuc-ub.primo.exlibrisgroup.com/permalink/34CSUC_UB/1eiigjf/alma991010378859706708","07 Ms 1970 Imp 14")</f>
        <v>07 Ms 1970 Imp 14</v>
      </c>
      <c r="F149" s="1" t="s">
        <v>248</v>
      </c>
      <c r="G149" s="2" t="s">
        <v>24</v>
      </c>
      <c r="H149" s="2" t="s">
        <v>269</v>
      </c>
      <c r="I149" s="9"/>
      <c r="J149" s="9"/>
      <c r="K149" s="9"/>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row>
    <row r="150" spans="1:57" s="13" customFormat="1" ht="76.5" x14ac:dyDescent="0.2">
      <c r="A150" s="2" t="s">
        <v>267</v>
      </c>
      <c r="B150" s="2" t="s">
        <v>270</v>
      </c>
      <c r="C150" s="1">
        <v>1715</v>
      </c>
      <c r="D150" s="2" t="s">
        <v>22</v>
      </c>
      <c r="E150" s="6" t="str">
        <f>HYPERLINK("https://csuc-ub.primo.exlibrisgroup.com/permalink/34CSUC_UB/1eiigjf/alma991010382249706708","07 Ms 1970 Imp 15")</f>
        <v>07 Ms 1970 Imp 15</v>
      </c>
      <c r="F150" s="1" t="s">
        <v>69</v>
      </c>
      <c r="G150" s="2" t="s">
        <v>24</v>
      </c>
      <c r="H150" s="2" t="s">
        <v>271</v>
      </c>
      <c r="I150" s="9"/>
      <c r="J150" s="9"/>
      <c r="K150" s="9"/>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row>
    <row r="151" spans="1:57" s="13" customFormat="1" ht="38.25" x14ac:dyDescent="0.2">
      <c r="A151" s="2" t="s">
        <v>272</v>
      </c>
      <c r="B151" s="2" t="s">
        <v>273</v>
      </c>
      <c r="C151" s="1">
        <v>1715</v>
      </c>
      <c r="D151" s="2" t="s">
        <v>22</v>
      </c>
      <c r="E151" s="6" t="str">
        <f>HYPERLINK("https://csuc-ub.primo.exlibrisgroup.com/permalink/34CSUC_UB/1eiigjf/alma991002382499706708","07 Ms 1970 Imp 17")</f>
        <v>07 Ms 1970 Imp 17</v>
      </c>
      <c r="F151" s="1" t="s">
        <v>69</v>
      </c>
      <c r="G151" s="2" t="s">
        <v>24</v>
      </c>
      <c r="H151" s="2" t="s">
        <v>221</v>
      </c>
      <c r="I151" s="9"/>
      <c r="J151" s="9"/>
      <c r="K151" s="9"/>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row>
    <row r="152" spans="1:57" s="13" customFormat="1" ht="76.5" x14ac:dyDescent="0.2">
      <c r="A152" s="2" t="s">
        <v>267</v>
      </c>
      <c r="B152" s="2" t="s">
        <v>274</v>
      </c>
      <c r="C152" s="1">
        <v>1715</v>
      </c>
      <c r="D152" s="2" t="s">
        <v>22</v>
      </c>
      <c r="E152" s="6" t="str">
        <f>HYPERLINK("https://csuc-ub.primo.exlibrisgroup.com/permalink/34CSUC_UB/1eiigjf/alma991002382579706708","07 Ms 1970 Imp 23")</f>
        <v>07 Ms 1970 Imp 23</v>
      </c>
      <c r="F152" s="1" t="s">
        <v>69</v>
      </c>
      <c r="G152" s="2" t="s">
        <v>24</v>
      </c>
      <c r="H152" s="2" t="s">
        <v>275</v>
      </c>
      <c r="I152" s="9"/>
      <c r="J152" s="9"/>
      <c r="K152" s="9"/>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row>
    <row r="153" spans="1:57" s="13" customFormat="1" ht="51" x14ac:dyDescent="0.2">
      <c r="A153" s="2" t="s">
        <v>276</v>
      </c>
      <c r="B153" s="2" t="s">
        <v>277</v>
      </c>
      <c r="C153" s="1">
        <v>1715</v>
      </c>
      <c r="D153" s="2" t="s">
        <v>278</v>
      </c>
      <c r="E153" s="6" t="str">
        <f>HYPERLINK("https://csuc-ub.primo.exlibrisgroup.com/permalink/34CSUC_UB/1eiigjf/alma991010385839706708","07 Ms 1970 Imp 24")</f>
        <v>07 Ms 1970 Imp 24</v>
      </c>
      <c r="F153" s="1" t="s">
        <v>207</v>
      </c>
      <c r="G153" s="2" t="s">
        <v>24</v>
      </c>
      <c r="H153" s="2" t="s">
        <v>279</v>
      </c>
      <c r="I153" s="9"/>
      <c r="J153" s="9"/>
      <c r="K153" s="9"/>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c r="AY153" s="14"/>
      <c r="AZ153" s="14"/>
      <c r="BA153" s="14"/>
      <c r="BB153" s="14"/>
      <c r="BC153" s="14"/>
      <c r="BD153" s="14"/>
      <c r="BE153" s="14"/>
    </row>
    <row r="154" spans="1:57" s="13" customFormat="1" ht="89.25" x14ac:dyDescent="0.2">
      <c r="A154" s="2" t="s">
        <v>267</v>
      </c>
      <c r="B154" s="2" t="s">
        <v>280</v>
      </c>
      <c r="C154" s="1">
        <v>1715</v>
      </c>
      <c r="D154" s="2" t="s">
        <v>22</v>
      </c>
      <c r="E154" s="6" t="str">
        <f>HYPERLINK("https://csuc-ub.primo.exlibrisgroup.com/permalink/34CSUC_UB/1eiigjf/alma991010390049706708","07 Ms 1970 Imp 25")</f>
        <v>07 Ms 1970 Imp 25</v>
      </c>
      <c r="F154" s="1" t="s">
        <v>69</v>
      </c>
      <c r="G154" s="2" t="s">
        <v>24</v>
      </c>
      <c r="H154" s="2" t="s">
        <v>281</v>
      </c>
      <c r="I154" s="9"/>
      <c r="J154" s="9"/>
      <c r="K154" s="9"/>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row>
    <row r="155" spans="1:57" s="13" customFormat="1" ht="63.75" x14ac:dyDescent="0.2">
      <c r="A155" s="2" t="s">
        <v>267</v>
      </c>
      <c r="B155" s="2" t="s">
        <v>282</v>
      </c>
      <c r="C155" s="1">
        <v>1715</v>
      </c>
      <c r="D155" s="2" t="s">
        <v>22</v>
      </c>
      <c r="E155" s="6" t="str">
        <f>HYPERLINK("https://csuc-ub.primo.exlibrisgroup.com/permalink/34CSUC_UB/1eiigjf/alma991002380819706708","07 Ms 1970 Imp 27")</f>
        <v>07 Ms 1970 Imp 27</v>
      </c>
      <c r="F155" s="1" t="s">
        <v>283</v>
      </c>
      <c r="G155" s="2" t="s">
        <v>24</v>
      </c>
      <c r="H155" s="2" t="s">
        <v>279</v>
      </c>
      <c r="I155" s="9"/>
      <c r="J155" s="9"/>
      <c r="K155" s="9"/>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c r="AY155" s="14"/>
      <c r="AZ155" s="14"/>
      <c r="BA155" s="14"/>
      <c r="BB155" s="14"/>
      <c r="BC155" s="14"/>
      <c r="BD155" s="14"/>
      <c r="BE155" s="14"/>
    </row>
    <row r="156" spans="1:57" s="13" customFormat="1" ht="38.25" x14ac:dyDescent="0.2">
      <c r="A156" s="2" t="s">
        <v>249</v>
      </c>
      <c r="B156" s="2" t="s">
        <v>284</v>
      </c>
      <c r="C156" s="2">
        <v>1715</v>
      </c>
      <c r="D156" s="2" t="s">
        <v>22</v>
      </c>
      <c r="E156" s="6" t="str">
        <f>HYPERLINK("https://csuc-ub.primo.exlibrisgroup.com/permalink/34CSUC_UB/1eiigjf/alma991010615409706708","07 Ms 1970 Imp 61")</f>
        <v>07 Ms 1970 Imp 61</v>
      </c>
      <c r="F156" s="1" t="s">
        <v>69</v>
      </c>
      <c r="G156" s="2" t="s">
        <v>24</v>
      </c>
      <c r="H156" s="2" t="s">
        <v>251</v>
      </c>
      <c r="I156" s="9"/>
      <c r="J156" s="9"/>
      <c r="K156" s="9"/>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row>
    <row r="157" spans="1:57" s="13" customFormat="1" ht="63.75" x14ac:dyDescent="0.2">
      <c r="A157" s="2" t="s">
        <v>249</v>
      </c>
      <c r="B157" s="2" t="s">
        <v>285</v>
      </c>
      <c r="C157" s="1">
        <v>1715</v>
      </c>
      <c r="D157" s="2" t="s">
        <v>22</v>
      </c>
      <c r="E157" s="6" t="str">
        <f>HYPERLINK("https://csuc-ub.primo.exlibrisgroup.com/permalink/34CSUC_UB/1eiigjf/alma991010466439706708","07 Ms 1974 Imp 6")</f>
        <v>07 Ms 1974 Imp 6</v>
      </c>
      <c r="F157" s="1" t="s">
        <v>69</v>
      </c>
      <c r="G157" s="2" t="s">
        <v>24</v>
      </c>
      <c r="H157" s="2" t="s">
        <v>286</v>
      </c>
      <c r="I157" s="9"/>
      <c r="J157" s="9"/>
      <c r="K157" s="9"/>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c r="AY157" s="14"/>
      <c r="AZ157" s="14"/>
      <c r="BA157" s="14"/>
      <c r="BB157" s="14"/>
      <c r="BC157" s="14"/>
      <c r="BD157" s="14"/>
      <c r="BE157" s="14"/>
    </row>
    <row r="158" spans="1:57" s="13" customFormat="1" ht="63.75" x14ac:dyDescent="0.2">
      <c r="A158" s="2" t="s">
        <v>249</v>
      </c>
      <c r="B158" s="2" t="s">
        <v>287</v>
      </c>
      <c r="C158" s="1">
        <v>1715</v>
      </c>
      <c r="D158" s="2" t="s">
        <v>22</v>
      </c>
      <c r="E158" s="6" t="str">
        <f>HYPERLINK("https://csuc-ub.primo.exlibrisgroup.com/permalink/34CSUC_UB/1eiigjf/alma991010466669706708","07 Ms 1974 Imp 8")</f>
        <v>07 Ms 1974 Imp 8</v>
      </c>
      <c r="F158" s="1" t="s">
        <v>69</v>
      </c>
      <c r="G158" s="2" t="s">
        <v>24</v>
      </c>
      <c r="H158" s="2" t="s">
        <v>251</v>
      </c>
      <c r="I158" s="9"/>
      <c r="J158" s="9"/>
      <c r="K158" s="9"/>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row>
    <row r="159" spans="1:57" s="13" customFormat="1" ht="38.25" x14ac:dyDescent="0.2">
      <c r="A159" s="2" t="s">
        <v>267</v>
      </c>
      <c r="B159" s="2" t="s">
        <v>288</v>
      </c>
      <c r="C159" s="2">
        <v>1716</v>
      </c>
      <c r="D159" s="2" t="s">
        <v>22</v>
      </c>
      <c r="E159" s="6" t="str">
        <f>HYPERLINK("https://csuc-ub.primo.exlibrisgroup.com/permalink/34CSUC_UB/1eiigjf/alma991002379839706708","07 B-38/4/2-32")</f>
        <v>07 B-38/4/2-32</v>
      </c>
      <c r="F159" s="3" t="s">
        <v>248</v>
      </c>
      <c r="G159" s="2" t="s">
        <v>24</v>
      </c>
      <c r="H159" s="2" t="s">
        <v>289</v>
      </c>
      <c r="I159" s="9"/>
      <c r="J159" s="9"/>
      <c r="K159" s="9"/>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row>
    <row r="160" spans="1:57" s="13" customFormat="1" ht="38.25" x14ac:dyDescent="0.2">
      <c r="A160" s="2" t="s">
        <v>67</v>
      </c>
      <c r="B160" s="2" t="s">
        <v>290</v>
      </c>
      <c r="C160" s="2">
        <v>1716</v>
      </c>
      <c r="D160" s="2" t="s">
        <v>22</v>
      </c>
      <c r="E160" s="6" t="str">
        <f>HYPERLINK("https://csuc-ub.primo.exlibrisgroup.com/permalink/34CSUC_UB/1eiigjf/alma991002380589706708","07 B-38/4/2-42")</f>
        <v>07 B-38/4/2-42</v>
      </c>
      <c r="F160" s="3" t="s">
        <v>69</v>
      </c>
      <c r="G160" s="2" t="s">
        <v>24</v>
      </c>
      <c r="H160" s="2" t="s">
        <v>291</v>
      </c>
      <c r="I160" s="9"/>
      <c r="J160" s="9"/>
      <c r="K160" s="9"/>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row>
    <row r="161" spans="1:57" s="13" customFormat="1" ht="38.25" x14ac:dyDescent="0.2">
      <c r="A161" s="2" t="s">
        <v>67</v>
      </c>
      <c r="B161" s="2" t="s">
        <v>292</v>
      </c>
      <c r="C161" s="2">
        <v>1716</v>
      </c>
      <c r="D161" s="2" t="s">
        <v>22</v>
      </c>
      <c r="E161" s="6" t="str">
        <f>HYPERLINK("https://csuc-ub.primo.exlibrisgroup.com/permalink/34CSUC_UB/1eiigjf/alma991002382479706708","07 B-38/4/2-45")</f>
        <v>07 B-38/4/2-45</v>
      </c>
      <c r="F161" s="3" t="s">
        <v>69</v>
      </c>
      <c r="G161" s="2" t="s">
        <v>24</v>
      </c>
      <c r="H161" s="2" t="s">
        <v>124</v>
      </c>
      <c r="I161" s="9"/>
      <c r="J161" s="9"/>
      <c r="K161" s="9"/>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row>
    <row r="162" spans="1:57" s="13" customFormat="1" ht="38.25" x14ac:dyDescent="0.2">
      <c r="A162" s="2" t="s">
        <v>67</v>
      </c>
      <c r="B162" s="2" t="s">
        <v>293</v>
      </c>
      <c r="C162" s="2">
        <v>1716</v>
      </c>
      <c r="D162" s="2" t="s">
        <v>22</v>
      </c>
      <c r="E162" s="6" t="str">
        <f>HYPERLINK("https://csuc-ub.primo.exlibrisgroup.com/permalink/34CSUC_UB/1eiigjf/alma991002382649706708","07 B-38/4/2-50")</f>
        <v>07 B-38/4/2-50</v>
      </c>
      <c r="F162" s="3" t="s">
        <v>69</v>
      </c>
      <c r="G162" s="2" t="s">
        <v>24</v>
      </c>
      <c r="H162" s="2" t="s">
        <v>294</v>
      </c>
      <c r="I162" s="8"/>
      <c r="J162" s="9"/>
      <c r="K162" s="9"/>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row>
    <row r="163" spans="1:57" s="13" customFormat="1" ht="25.5" x14ac:dyDescent="0.2">
      <c r="A163" s="2" t="s">
        <v>67</v>
      </c>
      <c r="B163" s="2" t="s">
        <v>295</v>
      </c>
      <c r="C163" s="2">
        <v>1716</v>
      </c>
      <c r="D163" s="2" t="s">
        <v>22</v>
      </c>
      <c r="E163" s="6" t="str">
        <f>HYPERLINK("https://csuc-ub.primo.exlibrisgroup.com/permalink/34CSUC_UB/1eiigjf/alma991002382949706708","07 B-38/4/2-57")</f>
        <v>07 B-38/4/2-57</v>
      </c>
      <c r="F163" s="3" t="s">
        <v>69</v>
      </c>
      <c r="G163" s="2" t="s">
        <v>24</v>
      </c>
      <c r="H163" s="2" t="s">
        <v>296</v>
      </c>
      <c r="I163" s="9"/>
      <c r="J163" s="9"/>
      <c r="K163" s="9"/>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row>
    <row r="164" spans="1:57" s="13" customFormat="1" ht="38.25" x14ac:dyDescent="0.2">
      <c r="A164" s="2" t="s">
        <v>67</v>
      </c>
      <c r="B164" s="2" t="s">
        <v>297</v>
      </c>
      <c r="C164" s="2">
        <v>1716</v>
      </c>
      <c r="D164" s="2" t="s">
        <v>22</v>
      </c>
      <c r="E164" s="6" t="str">
        <f>HYPERLINK("https://csuc-ub.primo.exlibrisgroup.com/permalink/34CSUC_UB/1eiigjf/alma991002382989706708","07 B-38/4/2-58")</f>
        <v>07 B-38/4/2-58</v>
      </c>
      <c r="F164" s="3" t="s">
        <v>69</v>
      </c>
      <c r="G164" s="2" t="s">
        <v>24</v>
      </c>
      <c r="H164" s="2" t="s">
        <v>298</v>
      </c>
      <c r="I164" s="9"/>
      <c r="J164" s="9"/>
      <c r="K164" s="9"/>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c r="AY164" s="14"/>
      <c r="AZ164" s="14"/>
      <c r="BA164" s="14"/>
      <c r="BB164" s="14"/>
      <c r="BC164" s="14"/>
      <c r="BD164" s="14"/>
      <c r="BE164" s="14"/>
    </row>
    <row r="165" spans="1:57" s="13" customFormat="1" ht="25.5" x14ac:dyDescent="0.2">
      <c r="A165" s="2" t="s">
        <v>67</v>
      </c>
      <c r="B165" s="2" t="s">
        <v>299</v>
      </c>
      <c r="C165" s="2">
        <v>1716</v>
      </c>
      <c r="D165" s="2" t="s">
        <v>46</v>
      </c>
      <c r="E165" s="6" t="str">
        <f>HYPERLINK("https://csuc-ub.primo.exlibrisgroup.com/permalink/34CSUC_UB/1eiigjf/alma991002026379706708","07 B-39/2/10-53")</f>
        <v>07 B-39/2/10-53</v>
      </c>
      <c r="F165" s="3" t="s">
        <v>69</v>
      </c>
      <c r="G165" s="2" t="s">
        <v>24</v>
      </c>
      <c r="H165" s="2" t="s">
        <v>300</v>
      </c>
      <c r="I165" s="8"/>
      <c r="J165" s="9"/>
      <c r="K165" s="9"/>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4"/>
      <c r="BB165" s="14"/>
      <c r="BC165" s="14"/>
      <c r="BD165" s="14"/>
      <c r="BE165" s="14"/>
    </row>
    <row r="166" spans="1:57" s="13" customFormat="1" ht="38.25" x14ac:dyDescent="0.2">
      <c r="A166" s="2" t="s">
        <v>67</v>
      </c>
      <c r="B166" s="2" t="s">
        <v>301</v>
      </c>
      <c r="C166" s="2">
        <v>1716</v>
      </c>
      <c r="D166" s="2" t="s">
        <v>22</v>
      </c>
      <c r="E166" s="6" t="str">
        <f>HYPERLINK("https://csuc-ub.primo.exlibrisgroup.com/permalink/34CSUC_UB/1eiigjf/alma991002069009706708","07 B-67/2/6-15")</f>
        <v>07 B-67/2/6-15</v>
      </c>
      <c r="F166" s="3" t="s">
        <v>69</v>
      </c>
      <c r="G166" s="2" t="s">
        <v>24</v>
      </c>
      <c r="H166" s="2" t="s">
        <v>302</v>
      </c>
      <c r="I166" s="9"/>
      <c r="J166" s="9"/>
      <c r="K166" s="9"/>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row>
    <row r="167" spans="1:57" s="13" customFormat="1" ht="25.5" x14ac:dyDescent="0.2">
      <c r="A167" s="2" t="s">
        <v>276</v>
      </c>
      <c r="B167" s="2" t="s">
        <v>303</v>
      </c>
      <c r="C167" s="1">
        <v>1716</v>
      </c>
      <c r="D167" s="2" t="s">
        <v>22</v>
      </c>
      <c r="E167" s="6" t="str">
        <f>HYPERLINK("https://csuc-ub.primo.exlibrisgroup.com/permalink/34CSUC_UB/1eiigjf/alma991010390309706708","07 Ms 1970 Imp 28")</f>
        <v>07 Ms 1970 Imp 28</v>
      </c>
      <c r="F167" s="1" t="s">
        <v>304</v>
      </c>
      <c r="G167" s="2" t="s">
        <v>24</v>
      </c>
      <c r="H167" s="2" t="s">
        <v>296</v>
      </c>
      <c r="I167" s="9"/>
      <c r="J167" s="9"/>
      <c r="K167" s="9"/>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row>
    <row r="168" spans="1:57" s="13" customFormat="1" ht="63.75" x14ac:dyDescent="0.2">
      <c r="A168" s="2" t="s">
        <v>267</v>
      </c>
      <c r="B168" s="2" t="s">
        <v>305</v>
      </c>
      <c r="C168" s="1">
        <v>1716</v>
      </c>
      <c r="D168" s="2" t="s">
        <v>22</v>
      </c>
      <c r="E168" s="6" t="str">
        <f>HYPERLINK("https://csuc-ub.primo.exlibrisgroup.com/permalink/34CSUC_UB/1eiigjf/alma991010391609706708","07 Ms 1970 Imp 31")</f>
        <v>07 Ms 1970 Imp 31</v>
      </c>
      <c r="F168" s="1" t="s">
        <v>248</v>
      </c>
      <c r="G168" s="2" t="s">
        <v>24</v>
      </c>
      <c r="H168" s="2" t="s">
        <v>306</v>
      </c>
      <c r="I168" s="9"/>
      <c r="J168" s="9"/>
      <c r="K168" s="9"/>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row>
    <row r="169" spans="1:57" s="13" customFormat="1" ht="25.5" x14ac:dyDescent="0.2">
      <c r="A169" s="2" t="s">
        <v>67</v>
      </c>
      <c r="B169" s="2" t="s">
        <v>307</v>
      </c>
      <c r="C169" s="2">
        <v>1716</v>
      </c>
      <c r="D169" s="2" t="s">
        <v>22</v>
      </c>
      <c r="E169" s="6" t="str">
        <f>HYPERLINK("https://csuc-ub.primo.exlibrisgroup.com/permalink/34CSUC_UB/1eiigjf/alma991002777719706708","07 XVIII-1249-2")</f>
        <v>07 XVIII-1249-2</v>
      </c>
      <c r="F169" s="3" t="s">
        <v>283</v>
      </c>
      <c r="G169" s="2" t="s">
        <v>24</v>
      </c>
      <c r="H169" s="2" t="s">
        <v>289</v>
      </c>
      <c r="I169" s="9"/>
      <c r="J169" s="9"/>
      <c r="K169" s="9"/>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row>
    <row r="170" spans="1:57" s="13" customFormat="1" ht="25.5" x14ac:dyDescent="0.2">
      <c r="A170" s="2" t="s">
        <v>67</v>
      </c>
      <c r="B170" s="2" t="s">
        <v>308</v>
      </c>
      <c r="C170" s="2">
        <v>1716</v>
      </c>
      <c r="D170" s="2" t="s">
        <v>22</v>
      </c>
      <c r="E170" s="6" t="str">
        <f>HYPERLINK("https://csuc-ub.primo.exlibrisgroup.com/permalink/34CSUC_UB/1eiigjf/alma991002139499706708","XVIII-10/II/23 (Dret)")</f>
        <v>XVIII-10/II/23 (Dret)</v>
      </c>
      <c r="F170" s="3" t="s">
        <v>283</v>
      </c>
      <c r="G170" s="2" t="s">
        <v>24</v>
      </c>
      <c r="H170" s="2" t="s">
        <v>289</v>
      </c>
      <c r="I170" s="9"/>
      <c r="J170" s="9"/>
      <c r="K170" s="9"/>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row>
    <row r="171" spans="1:57" s="13" customFormat="1" ht="38.25" x14ac:dyDescent="0.2">
      <c r="A171" s="2" t="s">
        <v>309</v>
      </c>
      <c r="B171" s="2" t="s">
        <v>310</v>
      </c>
      <c r="C171" s="2">
        <v>1717</v>
      </c>
      <c r="D171" s="2" t="s">
        <v>22</v>
      </c>
      <c r="E171" s="6" t="str">
        <f>HYPERLINK("https://cercabib.ub.edu/permalink/34CSUC_UB/13d0big/alma991006747379706708","07 B-66/2/1-30")</f>
        <v>07 B-66/2/1-30</v>
      </c>
      <c r="F171" s="3" t="s">
        <v>311</v>
      </c>
      <c r="G171" s="2" t="s">
        <v>24</v>
      </c>
      <c r="H171" s="2" t="s">
        <v>312</v>
      </c>
      <c r="I171" s="9"/>
      <c r="J171" s="9"/>
      <c r="K171" s="9"/>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row>
    <row r="172" spans="1:57" s="13" customFormat="1" ht="38.25" x14ac:dyDescent="0.2">
      <c r="A172" s="2" t="s">
        <v>67</v>
      </c>
      <c r="B172" s="2" t="s">
        <v>313</v>
      </c>
      <c r="C172" s="2">
        <v>1717</v>
      </c>
      <c r="D172" s="2" t="s">
        <v>22</v>
      </c>
      <c r="E172" s="6" t="str">
        <f>HYPERLINK("https://cercabib.ub.edu/permalink/34CSUC_UB/acbrpu/alma991003384009706708","07 Ms 1969 Imp 3")</f>
        <v>07 Ms 1969 Imp 3</v>
      </c>
      <c r="F172" s="3" t="s">
        <v>69</v>
      </c>
      <c r="G172" s="2" t="s">
        <v>24</v>
      </c>
      <c r="H172" s="2" t="s">
        <v>314</v>
      </c>
      <c r="I172" s="9"/>
      <c r="J172" s="9"/>
      <c r="K172" s="9"/>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row>
    <row r="173" spans="1:57" s="13" customFormat="1" ht="38.25" x14ac:dyDescent="0.2">
      <c r="A173" s="2" t="s">
        <v>67</v>
      </c>
      <c r="B173" s="2" t="s">
        <v>315</v>
      </c>
      <c r="C173" s="2">
        <v>1717</v>
      </c>
      <c r="D173" s="2" t="s">
        <v>22</v>
      </c>
      <c r="E173" s="6" t="str">
        <f>HYPERLINK("https://cercabib.ub.edu/permalink/34CSUC_UB/acbrpu/alma991003384069706708","07 Ms 1969 Imp 4")</f>
        <v>07 Ms 1969 Imp 4</v>
      </c>
      <c r="F173" s="3" t="s">
        <v>69</v>
      </c>
      <c r="G173" s="2" t="s">
        <v>24</v>
      </c>
      <c r="H173" s="2" t="s">
        <v>316</v>
      </c>
      <c r="I173" s="9"/>
      <c r="J173" s="9"/>
      <c r="K173" s="9"/>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row>
    <row r="174" spans="1:57" s="13" customFormat="1" ht="38.25" x14ac:dyDescent="0.2">
      <c r="A174" s="2" t="s">
        <v>67</v>
      </c>
      <c r="B174" s="2" t="s">
        <v>317</v>
      </c>
      <c r="C174" s="2">
        <v>1717</v>
      </c>
      <c r="D174" s="2" t="s">
        <v>22</v>
      </c>
      <c r="E174" s="6" t="str">
        <f>HYPERLINK("https://cercabib.ub.edu/permalink/34CSUC_UB/13d0big/alma991003385689706708","07 Ms 1969 Imp 7")</f>
        <v>07 Ms 1969 Imp 7</v>
      </c>
      <c r="F174" s="3" t="s">
        <v>69</v>
      </c>
      <c r="G174" s="2" t="s">
        <v>24</v>
      </c>
      <c r="H174" s="2" t="s">
        <v>318</v>
      </c>
      <c r="I174" s="8"/>
      <c r="J174" s="9"/>
      <c r="K174" s="9"/>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row>
    <row r="175" spans="1:57" s="13" customFormat="1" ht="25.5" x14ac:dyDescent="0.2">
      <c r="A175" s="2" t="s">
        <v>276</v>
      </c>
      <c r="B175" s="2" t="s">
        <v>319</v>
      </c>
      <c r="C175" s="1">
        <v>1717</v>
      </c>
      <c r="D175" s="2" t="s">
        <v>46</v>
      </c>
      <c r="E175" s="6" t="str">
        <f>HYPERLINK("https://csuc-ub.primo.exlibrisgroup.com/permalink/34CSUC_UB/1eiigjf/alma991010392809706708","07 Ms 1970 Imp 34")</f>
        <v>07 Ms 1970 Imp 34</v>
      </c>
      <c r="F175" s="1" t="s">
        <v>304</v>
      </c>
      <c r="G175" s="2" t="s">
        <v>24</v>
      </c>
      <c r="H175" s="2" t="s">
        <v>269</v>
      </c>
      <c r="I175" s="9"/>
      <c r="J175" s="9"/>
      <c r="K175" s="9"/>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row>
    <row r="176" spans="1:57" s="13" customFormat="1" ht="153" x14ac:dyDescent="0.2">
      <c r="A176" s="2" t="s">
        <v>320</v>
      </c>
      <c r="B176" s="2" t="s">
        <v>321</v>
      </c>
      <c r="C176" s="1">
        <v>1717</v>
      </c>
      <c r="D176" s="2" t="s">
        <v>46</v>
      </c>
      <c r="E176" s="6" t="str">
        <f>HYPERLINK("https://cercabib.ub.edu/permalink/34CSUC_UB/13d0big/alma991010396489706708","07 Ms 1970 Imp 35")</f>
        <v>07 Ms 1970 Imp 35</v>
      </c>
      <c r="F176" s="1" t="s">
        <v>322</v>
      </c>
      <c r="G176" s="2" t="s">
        <v>24</v>
      </c>
      <c r="H176" s="2" t="s">
        <v>323</v>
      </c>
      <c r="I176" s="9"/>
      <c r="J176" s="9"/>
      <c r="K176" s="9"/>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row>
    <row r="177" spans="1:57" s="13" customFormat="1" ht="51" x14ac:dyDescent="0.2">
      <c r="A177" s="2" t="s">
        <v>324</v>
      </c>
      <c r="B177" s="2" t="s">
        <v>325</v>
      </c>
      <c r="C177" s="1">
        <v>1717</v>
      </c>
      <c r="D177" s="2" t="s">
        <v>326</v>
      </c>
      <c r="E177" s="6" t="str">
        <f>HYPERLINK("https://cercabib.ub.edu/permalink/34CSUC_UB/13d0big/alma991010397449706708","07 Ms 1970 Imp 36")</f>
        <v>07 Ms 1970 Imp 36</v>
      </c>
      <c r="F177" s="1" t="s">
        <v>322</v>
      </c>
      <c r="G177" s="2" t="s">
        <v>24</v>
      </c>
      <c r="H177" s="2" t="s">
        <v>323</v>
      </c>
      <c r="I177" s="9"/>
      <c r="J177" s="9"/>
      <c r="K177" s="9"/>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row>
    <row r="178" spans="1:57" s="13" customFormat="1" ht="63.75" x14ac:dyDescent="0.2">
      <c r="A178" s="2" t="s">
        <v>324</v>
      </c>
      <c r="B178" s="2" t="s">
        <v>327</v>
      </c>
      <c r="C178" s="1">
        <v>1717</v>
      </c>
      <c r="D178" s="2" t="s">
        <v>326</v>
      </c>
      <c r="E178" s="6" t="str">
        <f>HYPERLINK("https://cercabib.ub.edu/permalink/34CSUC_UB/13d0big/alma991010397489706708","07 Ms 1970 Imp 37")</f>
        <v>07 Ms 1970 Imp 37</v>
      </c>
      <c r="F178" s="1" t="s">
        <v>248</v>
      </c>
      <c r="G178" s="2" t="s">
        <v>24</v>
      </c>
      <c r="H178" s="2" t="s">
        <v>323</v>
      </c>
      <c r="I178" s="9"/>
      <c r="J178" s="9"/>
      <c r="K178" s="9"/>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row>
    <row r="179" spans="1:57" s="13" customFormat="1" ht="38.25" x14ac:dyDescent="0.2">
      <c r="A179" s="2" t="s">
        <v>276</v>
      </c>
      <c r="B179" s="2" t="s">
        <v>328</v>
      </c>
      <c r="C179" s="1">
        <v>1717</v>
      </c>
      <c r="D179" s="2" t="s">
        <v>46</v>
      </c>
      <c r="E179" s="6" t="str">
        <f>HYPERLINK("https://csuc-ub.primo.exlibrisgroup.com/permalink/34CSUC_UB/1eiigjf/alma991010400499706708","07 Ms 1970 Imp 38")</f>
        <v>07 Ms 1970 Imp 38</v>
      </c>
      <c r="F179" s="1" t="s">
        <v>329</v>
      </c>
      <c r="G179" s="2" t="s">
        <v>24</v>
      </c>
      <c r="H179" s="2" t="s">
        <v>330</v>
      </c>
      <c r="I179" s="9"/>
      <c r="J179" s="9"/>
      <c r="K179" s="9"/>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row>
    <row r="180" spans="1:57" s="13" customFormat="1" ht="38.25" x14ac:dyDescent="0.2">
      <c r="A180" s="2" t="s">
        <v>276</v>
      </c>
      <c r="B180" s="2" t="s">
        <v>331</v>
      </c>
      <c r="C180" s="1">
        <v>1717</v>
      </c>
      <c r="D180" s="2" t="s">
        <v>46</v>
      </c>
      <c r="E180" s="6" t="str">
        <f>HYPERLINK("https://csuc-ub.primo.exlibrisgroup.com/permalink/34CSUC_UB/1eiigjf/alma991010405869706708","07 Ms 1970 Imp 39")</f>
        <v>07 Ms 1970 Imp 39</v>
      </c>
      <c r="F180" s="1" t="s">
        <v>329</v>
      </c>
      <c r="G180" s="2" t="s">
        <v>24</v>
      </c>
      <c r="H180" s="2" t="s">
        <v>332</v>
      </c>
      <c r="I180" s="9"/>
      <c r="J180" s="9"/>
      <c r="K180" s="9"/>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row>
    <row r="181" spans="1:57" s="13" customFormat="1" ht="51" x14ac:dyDescent="0.2">
      <c r="A181" s="2" t="s">
        <v>67</v>
      </c>
      <c r="B181" s="2" t="s">
        <v>333</v>
      </c>
      <c r="C181" s="2">
        <v>1718</v>
      </c>
      <c r="D181" s="2" t="s">
        <v>22</v>
      </c>
      <c r="E181" s="6" t="str">
        <f>HYPERLINK("https://csuc-ub.primo.exlibrisgroup.com/permalink/34CSUC_UB/1eiigjf/alma991002383649706708","07 B-38/4/2-70")</f>
        <v>07 B-38/4/2-70</v>
      </c>
      <c r="F181" s="3" t="s">
        <v>69</v>
      </c>
      <c r="G181" s="2" t="s">
        <v>24</v>
      </c>
      <c r="H181" s="2" t="s">
        <v>261</v>
      </c>
      <c r="I181" s="9"/>
      <c r="J181" s="9"/>
      <c r="K181" s="9"/>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row>
    <row r="182" spans="1:57" s="13" customFormat="1" ht="25.5" x14ac:dyDescent="0.2">
      <c r="A182" s="2" t="s">
        <v>67</v>
      </c>
      <c r="B182" s="2" t="s">
        <v>334</v>
      </c>
      <c r="C182" s="2">
        <v>1718</v>
      </c>
      <c r="D182" s="2" t="s">
        <v>22</v>
      </c>
      <c r="E182" s="6" t="str">
        <f>HYPERLINK("https://csuc-ub.primo.exlibrisgroup.com/permalink/34CSUC_UB/1eiigjf/alma991002383689706708","07 B-38/4/2-71")</f>
        <v>07 B-38/4/2-71</v>
      </c>
      <c r="F182" s="3" t="s">
        <v>335</v>
      </c>
      <c r="G182" s="2" t="s">
        <v>24</v>
      </c>
      <c r="H182" s="2" t="s">
        <v>336</v>
      </c>
      <c r="I182" s="9"/>
      <c r="J182" s="9"/>
      <c r="K182" s="9"/>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row>
    <row r="183" spans="1:57" s="13" customFormat="1" ht="38.25" x14ac:dyDescent="0.2">
      <c r="A183" s="2" t="s">
        <v>67</v>
      </c>
      <c r="B183" s="2" t="s">
        <v>337</v>
      </c>
      <c r="C183" s="2">
        <v>1718</v>
      </c>
      <c r="D183" s="2" t="s">
        <v>22</v>
      </c>
      <c r="E183" s="6" t="str">
        <f>HYPERLINK("https://csuc-ub.primo.exlibrisgroup.com/permalink/34CSUC_UB/1eiigjf/alma991002383729706708","07 B-38/4/2-72")</f>
        <v>07 B-38/4/2-72</v>
      </c>
      <c r="F183" s="3" t="s">
        <v>69</v>
      </c>
      <c r="G183" s="2" t="s">
        <v>24</v>
      </c>
      <c r="H183" s="2" t="s">
        <v>261</v>
      </c>
      <c r="I183" s="9"/>
      <c r="J183" s="9"/>
      <c r="K183" s="9"/>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row>
    <row r="184" spans="1:57" s="13" customFormat="1" ht="38.25" x14ac:dyDescent="0.2">
      <c r="A184" s="2" t="s">
        <v>67</v>
      </c>
      <c r="B184" s="2" t="s">
        <v>338</v>
      </c>
      <c r="C184" s="2">
        <v>1718</v>
      </c>
      <c r="D184" s="2" t="s">
        <v>22</v>
      </c>
      <c r="E184" s="6" t="str">
        <f>HYPERLINK("https://csuc-ub.primo.exlibrisgroup.com/permalink/34CSUC_UB/1eiigjf/alma991002383769706708","07 B-38/4/2-73")</f>
        <v>07 B-38/4/2-73</v>
      </c>
      <c r="F184" s="3" t="s">
        <v>69</v>
      </c>
      <c r="G184" s="2" t="s">
        <v>24</v>
      </c>
      <c r="H184" s="2" t="s">
        <v>339</v>
      </c>
      <c r="I184" s="9"/>
      <c r="J184" s="9"/>
      <c r="K184" s="9"/>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row>
    <row r="185" spans="1:57" s="13" customFormat="1" ht="38.25" x14ac:dyDescent="0.2">
      <c r="A185" s="2" t="s">
        <v>67</v>
      </c>
      <c r="B185" s="2" t="s">
        <v>340</v>
      </c>
      <c r="C185" s="2">
        <v>1718</v>
      </c>
      <c r="D185" s="2" t="s">
        <v>22</v>
      </c>
      <c r="E185" s="6" t="str">
        <f>HYPERLINK("https://csuc-ub.primo.exlibrisgroup.com/permalink/34CSUC_UB/1eiigjf/alma991002383969706708","07 B-38/4/2-78")</f>
        <v>07 B-38/4/2-78</v>
      </c>
      <c r="F185" s="3" t="s">
        <v>69</v>
      </c>
      <c r="G185" s="2" t="s">
        <v>24</v>
      </c>
      <c r="H185" s="2" t="s">
        <v>261</v>
      </c>
      <c r="I185" s="8"/>
      <c r="J185" s="9"/>
      <c r="K185" s="9"/>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row>
    <row r="186" spans="1:57" s="13" customFormat="1" ht="38.25" x14ac:dyDescent="0.2">
      <c r="A186" s="2" t="s">
        <v>67</v>
      </c>
      <c r="B186" s="2" t="s">
        <v>341</v>
      </c>
      <c r="C186" s="2">
        <v>1718</v>
      </c>
      <c r="D186" s="2" t="s">
        <v>22</v>
      </c>
      <c r="E186" s="6" t="str">
        <f>HYPERLINK("https://csuc-ub.primo.exlibrisgroup.com/permalink/34CSUC_UB/1eiigjf/alma991002383309706708","07 B-38/4/2-86")</f>
        <v>07 B-38/4/2-86</v>
      </c>
      <c r="F186" s="3" t="s">
        <v>102</v>
      </c>
      <c r="G186" s="2" t="s">
        <v>24</v>
      </c>
      <c r="H186" s="2" t="s">
        <v>342</v>
      </c>
      <c r="I186" s="8"/>
      <c r="J186" s="9"/>
      <c r="K186" s="9"/>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row>
    <row r="187" spans="1:57" s="13" customFormat="1" ht="38.25" x14ac:dyDescent="0.2">
      <c r="A187" s="2" t="s">
        <v>67</v>
      </c>
      <c r="B187" s="2" t="s">
        <v>343</v>
      </c>
      <c r="C187" s="2">
        <v>1718</v>
      </c>
      <c r="D187" s="2" t="s">
        <v>22</v>
      </c>
      <c r="E187" s="6" t="str">
        <f>HYPERLINK("https://csuc-ub.primo.exlibrisgroup.com/permalink/34CSUC_UB/1eiigjf/alma991002024279706708","07 B-39/2/10-2")</f>
        <v>07 B-39/2/10-2</v>
      </c>
      <c r="F187" s="3" t="s">
        <v>335</v>
      </c>
      <c r="G187" s="2" t="s">
        <v>24</v>
      </c>
      <c r="H187" s="2" t="s">
        <v>336</v>
      </c>
      <c r="I187" s="8"/>
      <c r="J187" s="9"/>
      <c r="K187" s="9"/>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row>
    <row r="188" spans="1:57" s="13" customFormat="1" ht="25.5" x14ac:dyDescent="0.2">
      <c r="A188" s="2" t="s">
        <v>67</v>
      </c>
      <c r="B188" s="2" t="s">
        <v>344</v>
      </c>
      <c r="C188" s="2">
        <v>1718</v>
      </c>
      <c r="D188" s="2" t="s">
        <v>22</v>
      </c>
      <c r="E188" s="6" t="str">
        <f>HYPERLINK("https://csuc-ub.primo.exlibrisgroup.com/permalink/34CSUC_UB/1eiigjf/alma991002024329706708","07 B-39/2/10-3")</f>
        <v>07 B-39/2/10-3</v>
      </c>
      <c r="F188" s="3" t="s">
        <v>335</v>
      </c>
      <c r="G188" s="2" t="s">
        <v>24</v>
      </c>
      <c r="H188" s="2" t="s">
        <v>336</v>
      </c>
      <c r="I188" s="9"/>
      <c r="J188" s="9"/>
      <c r="K188" s="9"/>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row>
    <row r="189" spans="1:57" s="13" customFormat="1" ht="38.25" x14ac:dyDescent="0.2">
      <c r="A189" s="2" t="s">
        <v>67</v>
      </c>
      <c r="B189" s="2" t="s">
        <v>345</v>
      </c>
      <c r="C189" s="2">
        <v>1718</v>
      </c>
      <c r="D189" s="2" t="s">
        <v>46</v>
      </c>
      <c r="E189" s="6" t="str">
        <f>HYPERLINK("https://csuc-ub.primo.exlibrisgroup.com/permalink/34CSUC_UB/1eiigjf/alma991003216339706708","07 Ms 1957 Imp 18")</f>
        <v>07 Ms 1957 Imp 18</v>
      </c>
      <c r="F189" s="3" t="s">
        <v>69</v>
      </c>
      <c r="G189" s="2" t="s">
        <v>24</v>
      </c>
      <c r="H189" s="2" t="s">
        <v>70</v>
      </c>
      <c r="I189" s="9"/>
      <c r="J189" s="9"/>
      <c r="K189" s="9"/>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row>
    <row r="190" spans="1:57" s="13" customFormat="1" ht="38.25" x14ac:dyDescent="0.2">
      <c r="A190" s="2"/>
      <c r="B190" s="2" t="s">
        <v>346</v>
      </c>
      <c r="C190" s="2">
        <v>1718</v>
      </c>
      <c r="D190" s="2" t="s">
        <v>22</v>
      </c>
      <c r="E190" s="6" t="str">
        <f>HYPERLINK("https://csuc-ub.primo.exlibrisgroup.com/permalink/34CSUC_UB/1eiigjf/alma991003223709706708","07 Ms 1990 Imp 12")</f>
        <v>07 Ms 1990 Imp 12</v>
      </c>
      <c r="F190" s="3" t="s">
        <v>98</v>
      </c>
      <c r="G190" s="2" t="s">
        <v>24</v>
      </c>
      <c r="H190" s="2" t="s">
        <v>347</v>
      </c>
      <c r="I190" s="8"/>
      <c r="J190" s="8"/>
      <c r="K190" s="9"/>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row>
    <row r="191" spans="1:57" s="13" customFormat="1" ht="38.25" x14ac:dyDescent="0.2">
      <c r="A191" s="1"/>
      <c r="B191" s="2" t="s">
        <v>348</v>
      </c>
      <c r="C191" s="2">
        <v>1718</v>
      </c>
      <c r="D191" s="2" t="s">
        <v>22</v>
      </c>
      <c r="E191" s="6" t="str">
        <f>HYPERLINK("https://csuc-ub.primo.exlibrisgroup.com/permalink/34CSUC_UB/1eiigjf/alma991002632939706708","07 XVIII-2106-24")</f>
        <v>07 XVIII-2106-24</v>
      </c>
      <c r="F191" s="3" t="s">
        <v>23</v>
      </c>
      <c r="G191" s="2" t="s">
        <v>24</v>
      </c>
      <c r="H191" s="2" t="s">
        <v>47</v>
      </c>
      <c r="I191" s="9"/>
      <c r="J191" s="9"/>
      <c r="K191" s="9"/>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c r="AY191" s="14"/>
      <c r="AZ191" s="14"/>
      <c r="BA191" s="14"/>
      <c r="BB191" s="14"/>
      <c r="BC191" s="14"/>
      <c r="BD191" s="14"/>
      <c r="BE191" s="14"/>
    </row>
    <row r="192" spans="1:57" s="13" customFormat="1" ht="38.25" x14ac:dyDescent="0.2">
      <c r="A192" s="2" t="s">
        <v>67</v>
      </c>
      <c r="B192" s="2" t="s">
        <v>349</v>
      </c>
      <c r="C192" s="2">
        <v>1718</v>
      </c>
      <c r="D192" s="2" t="s">
        <v>22</v>
      </c>
      <c r="E192" s="6" t="str">
        <f>HYPERLINK("https://csuc-ub.primo.exlibrisgroup.com/permalink/34CSUC_UB/1eiigjf/alma991003101989706708","07 XVIII-6943-39")</f>
        <v>07 XVIII-6943-39</v>
      </c>
      <c r="F192" s="3" t="s">
        <v>69</v>
      </c>
      <c r="G192" s="2" t="s">
        <v>24</v>
      </c>
      <c r="H192" s="2" t="s">
        <v>350</v>
      </c>
      <c r="I192" s="9"/>
      <c r="J192" s="9"/>
      <c r="K192" s="9"/>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14"/>
      <c r="BC192" s="14"/>
      <c r="BD192" s="14"/>
      <c r="BE192" s="14"/>
    </row>
    <row r="193" spans="1:57" s="13" customFormat="1" ht="25.5" x14ac:dyDescent="0.2">
      <c r="A193" s="2" t="s">
        <v>67</v>
      </c>
      <c r="B193" s="2" t="s">
        <v>351</v>
      </c>
      <c r="C193" s="2">
        <v>1718</v>
      </c>
      <c r="D193" s="2" t="s">
        <v>118</v>
      </c>
      <c r="E193" s="6" t="str">
        <f>HYPERLINK("https://csuc-ub.primo.exlibrisgroup.com/permalink/34CSUC_UB/1eiigjf/alma991002139579706708","XVIII-10/II/25 (Dret)")</f>
        <v>XVIII-10/II/25 (Dret)</v>
      </c>
      <c r="F193" s="3" t="s">
        <v>335</v>
      </c>
      <c r="G193" s="2" t="s">
        <v>24</v>
      </c>
      <c r="H193" s="2" t="s">
        <v>336</v>
      </c>
      <c r="I193" s="9"/>
      <c r="J193" s="9"/>
      <c r="K193" s="9"/>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row>
    <row r="194" spans="1:57" s="13" customFormat="1" ht="38.25" x14ac:dyDescent="0.2">
      <c r="A194" s="2" t="s">
        <v>67</v>
      </c>
      <c r="B194" s="2" t="s">
        <v>352</v>
      </c>
      <c r="C194" s="2">
        <v>1719</v>
      </c>
      <c r="D194" s="2" t="s">
        <v>22</v>
      </c>
      <c r="E194" s="6" t="str">
        <f>HYPERLINK("https://csuc-ub.primo.exlibrisgroup.com/permalink/34CSUC_UB/1eiigjf/alma991002382759706708","07 B-38/4/2-51")</f>
        <v>07 B-38/4/2-51</v>
      </c>
      <c r="F194" s="3" t="s">
        <v>69</v>
      </c>
      <c r="G194" s="2" t="s">
        <v>24</v>
      </c>
      <c r="H194" s="2" t="s">
        <v>353</v>
      </c>
      <c r="I194" s="8"/>
      <c r="J194" s="9"/>
      <c r="K194" s="9"/>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row>
    <row r="195" spans="1:57" s="13" customFormat="1" ht="38.25" x14ac:dyDescent="0.2">
      <c r="A195" s="2" t="s">
        <v>67</v>
      </c>
      <c r="B195" s="2" t="s">
        <v>354</v>
      </c>
      <c r="C195" s="2">
        <v>1719</v>
      </c>
      <c r="D195" s="2" t="s">
        <v>22</v>
      </c>
      <c r="E195" s="6" t="str">
        <f>HYPERLINK("https://csuc-ub.primo.exlibrisgroup.com/permalink/34CSUC_UB/1eiigjf/alma991002024359706708","07 B-39/2/10-4")</f>
        <v>07 B-39/2/10-4</v>
      </c>
      <c r="F195" s="3" t="s">
        <v>248</v>
      </c>
      <c r="G195" s="2" t="s">
        <v>24</v>
      </c>
      <c r="H195" s="2" t="s">
        <v>336</v>
      </c>
      <c r="I195" s="8"/>
      <c r="J195" s="9"/>
      <c r="K195" s="9"/>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row>
    <row r="196" spans="1:57" s="13" customFormat="1" ht="25.5" x14ac:dyDescent="0.2">
      <c r="A196" s="2" t="s">
        <v>48</v>
      </c>
      <c r="B196" s="2" t="s">
        <v>355</v>
      </c>
      <c r="C196" s="2">
        <v>1719</v>
      </c>
      <c r="D196" s="2" t="s">
        <v>22</v>
      </c>
      <c r="E196" s="6" t="str">
        <f>HYPERLINK("https://csuc-ub.primo.exlibrisgroup.com/permalink/34CSUC_UB/1eiigjf/alma991001683529706708","07 B-39/4/9-18")</f>
        <v>07 B-39/4/9-18</v>
      </c>
      <c r="F196" s="3" t="s">
        <v>23</v>
      </c>
      <c r="G196" s="2" t="s">
        <v>24</v>
      </c>
      <c r="H196" s="2" t="s">
        <v>356</v>
      </c>
      <c r="I196" s="9"/>
      <c r="J196" s="9"/>
      <c r="K196" s="9"/>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row>
    <row r="197" spans="1:57" s="13" customFormat="1" ht="38.25" x14ac:dyDescent="0.2">
      <c r="A197" s="2" t="s">
        <v>48</v>
      </c>
      <c r="B197" s="2" t="s">
        <v>357</v>
      </c>
      <c r="C197" s="2">
        <v>1719</v>
      </c>
      <c r="D197" s="2" t="s">
        <v>46</v>
      </c>
      <c r="E197" s="6" t="str">
        <f>HYPERLINK("https://csuc-ub.primo.exlibrisgroup.com/permalink/34CSUC_UB/1eiigjf/alma991001721349706708","07 B-45/3/22-1")</f>
        <v>07 B-45/3/22-1</v>
      </c>
      <c r="F197" s="3" t="s">
        <v>169</v>
      </c>
      <c r="G197" s="2" t="s">
        <v>24</v>
      </c>
      <c r="H197" s="2" t="s">
        <v>89</v>
      </c>
      <c r="I197" s="9"/>
      <c r="J197" s="9"/>
      <c r="K197" s="9"/>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row>
    <row r="198" spans="1:57" s="13" customFormat="1" ht="38.25" x14ac:dyDescent="0.2">
      <c r="A198" s="2" t="s">
        <v>67</v>
      </c>
      <c r="B198" s="2" t="s">
        <v>358</v>
      </c>
      <c r="C198" s="2">
        <v>1720</v>
      </c>
      <c r="D198" s="2" t="s">
        <v>22</v>
      </c>
      <c r="E198" s="6" t="str">
        <f>HYPERLINK("https://csuc-ub.primo.exlibrisgroup.com/permalink/34CSUC_UB/1eiigjf/alma991002380769706708","07 B-38/4/2-43")</f>
        <v>07 B-38/4/2-43</v>
      </c>
      <c r="F198" s="3" t="s">
        <v>69</v>
      </c>
      <c r="G198" s="2" t="s">
        <v>24</v>
      </c>
      <c r="H198" s="2" t="s">
        <v>359</v>
      </c>
      <c r="I198" s="8"/>
      <c r="J198" s="9"/>
      <c r="K198" s="9"/>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row>
    <row r="199" spans="1:57" s="13" customFormat="1" ht="38.25" x14ac:dyDescent="0.2">
      <c r="A199" s="2" t="s">
        <v>67</v>
      </c>
      <c r="B199" s="2" t="s">
        <v>360</v>
      </c>
      <c r="C199" s="2">
        <v>1720</v>
      </c>
      <c r="D199" s="2" t="s">
        <v>22</v>
      </c>
      <c r="E199" s="6" t="str">
        <f>HYPERLINK("https://csuc-ub.primo.exlibrisgroup.com/permalink/34CSUC_UB/1eiigjf/alma991002382879706708","07 B-38/4/2-55")</f>
        <v>07 B-38/4/2-55</v>
      </c>
      <c r="F199" s="3" t="s">
        <v>69</v>
      </c>
      <c r="G199" s="2" t="s">
        <v>24</v>
      </c>
      <c r="H199" s="2" t="s">
        <v>361</v>
      </c>
      <c r="I199" s="8"/>
      <c r="J199" s="9"/>
      <c r="K199" s="9"/>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c r="AY199" s="14"/>
      <c r="AZ199" s="14"/>
      <c r="BA199" s="14"/>
      <c r="BB199" s="14"/>
      <c r="BC199" s="14"/>
      <c r="BD199" s="14"/>
      <c r="BE199" s="14"/>
    </row>
    <row r="200" spans="1:57" s="13" customFormat="1" ht="38.25" x14ac:dyDescent="0.2">
      <c r="A200" s="2" t="s">
        <v>67</v>
      </c>
      <c r="B200" s="2" t="s">
        <v>362</v>
      </c>
      <c r="C200" s="2">
        <v>1720</v>
      </c>
      <c r="D200" s="2" t="s">
        <v>363</v>
      </c>
      <c r="E200" s="6" t="str">
        <f>HYPERLINK("https://csuc-ub.primo.exlibrisgroup.com/permalink/34CSUC_UB/1eiigjf/alma991002383569706708","07 B-38/4/2-68")</f>
        <v>07 B-38/4/2-68</v>
      </c>
      <c r="F200" s="3" t="s">
        <v>69</v>
      </c>
      <c r="G200" s="2" t="s">
        <v>24</v>
      </c>
      <c r="H200" s="2" t="s">
        <v>306</v>
      </c>
      <c r="I200" s="9"/>
      <c r="J200" s="9"/>
      <c r="K200" s="9"/>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c r="AY200" s="14"/>
      <c r="AZ200" s="14"/>
      <c r="BA200" s="14"/>
      <c r="BB200" s="14"/>
      <c r="BC200" s="14"/>
      <c r="BD200" s="14"/>
      <c r="BE200" s="14"/>
    </row>
    <row r="201" spans="1:57" s="13" customFormat="1" ht="38.25" x14ac:dyDescent="0.2">
      <c r="A201" s="2" t="s">
        <v>67</v>
      </c>
      <c r="B201" s="2" t="s">
        <v>364</v>
      </c>
      <c r="C201" s="2">
        <v>1720</v>
      </c>
      <c r="D201" s="2" t="s">
        <v>22</v>
      </c>
      <c r="E201" s="6" t="str">
        <f>HYPERLINK("https://csuc-ub.primo.exlibrisgroup.com/permalink/34CSUC_UB/1eiigjf/alma991002383859706708","07 B-38/4/2-75")</f>
        <v>07 B-38/4/2-75</v>
      </c>
      <c r="F201" s="3" t="s">
        <v>69</v>
      </c>
      <c r="G201" s="2" t="s">
        <v>24</v>
      </c>
      <c r="H201" s="2" t="s">
        <v>365</v>
      </c>
      <c r="I201" s="9"/>
      <c r="J201" s="9"/>
      <c r="K201" s="9"/>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row>
    <row r="202" spans="1:57" s="13" customFormat="1" ht="38.25" x14ac:dyDescent="0.2">
      <c r="A202" s="2" t="s">
        <v>67</v>
      </c>
      <c r="B202" s="2" t="s">
        <v>366</v>
      </c>
      <c r="C202" s="2">
        <v>1720</v>
      </c>
      <c r="D202" s="2" t="s">
        <v>22</v>
      </c>
      <c r="E202" s="6" t="str">
        <f>HYPERLINK("https://csuc-ub.primo.exlibrisgroup.com/permalink/34CSUC_UB/1eiigjf/alma991002384209706708","07 B-38/4/2-85")</f>
        <v>07 B-38/4/2-85</v>
      </c>
      <c r="F202" s="3" t="s">
        <v>69</v>
      </c>
      <c r="G202" s="2" t="s">
        <v>24</v>
      </c>
      <c r="H202" s="2" t="s">
        <v>306</v>
      </c>
      <c r="I202" s="8"/>
      <c r="J202" s="9"/>
      <c r="K202" s="9"/>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row>
    <row r="203" spans="1:57" s="13" customFormat="1" ht="25.5" x14ac:dyDescent="0.2">
      <c r="A203" s="1"/>
      <c r="B203" s="2" t="s">
        <v>367</v>
      </c>
      <c r="C203" s="2">
        <v>1720</v>
      </c>
      <c r="D203" s="2" t="s">
        <v>118</v>
      </c>
      <c r="E203" s="6" t="str">
        <f>HYPERLINK("https://csuc-ub.primo.exlibrisgroup.com/permalink/34CSUC_UB/1eiigjf/alma991002058949706708","07 B-44/2/1-23")</f>
        <v>07 B-44/2/1-23</v>
      </c>
      <c r="F203" s="3" t="s">
        <v>107</v>
      </c>
      <c r="G203" s="2" t="s">
        <v>24</v>
      </c>
      <c r="H203" s="2" t="s">
        <v>368</v>
      </c>
      <c r="I203" s="9"/>
      <c r="J203" s="9"/>
      <c r="K203" s="9"/>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row>
    <row r="204" spans="1:57" s="13" customFormat="1" ht="25.5" x14ac:dyDescent="0.2">
      <c r="A204" s="2" t="s">
        <v>67</v>
      </c>
      <c r="B204" s="2" t="s">
        <v>369</v>
      </c>
      <c r="C204" s="2">
        <v>1721</v>
      </c>
      <c r="D204" s="2" t="s">
        <v>22</v>
      </c>
      <c r="E204" s="6" t="str">
        <f>HYPERLINK("https://csuc-ub.primo.exlibrisgroup.com/permalink/34CSUC_UB/1eiigjf/alma991002299119706708","07 84/4/21-19")</f>
        <v>07 84/4/21-19</v>
      </c>
      <c r="F204" s="3" t="s">
        <v>69</v>
      </c>
      <c r="G204" s="2" t="s">
        <v>24</v>
      </c>
      <c r="H204" s="2" t="s">
        <v>370</v>
      </c>
      <c r="I204" s="8"/>
      <c r="J204" s="9"/>
      <c r="K204" s="9"/>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row>
    <row r="205" spans="1:57" s="13" customFormat="1" ht="51" x14ac:dyDescent="0.2">
      <c r="A205" s="2" t="s">
        <v>67</v>
      </c>
      <c r="B205" s="2" t="s">
        <v>371</v>
      </c>
      <c r="C205" s="2">
        <v>1721</v>
      </c>
      <c r="D205" s="2" t="s">
        <v>22</v>
      </c>
      <c r="E205" s="6" t="str">
        <f>HYPERLINK("https://csuc-ub.primo.exlibrisgroup.com/permalink/34CSUC_UB/1eiigjf/alma991002383459706708","07 B-38/4/2-63")</f>
        <v>07 B-38/4/2-63</v>
      </c>
      <c r="F205" s="3" t="s">
        <v>69</v>
      </c>
      <c r="G205" s="2" t="s">
        <v>24</v>
      </c>
      <c r="H205" s="2" t="s">
        <v>223</v>
      </c>
      <c r="I205" s="9"/>
      <c r="J205" s="9"/>
      <c r="K205" s="9"/>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row>
    <row r="206" spans="1:57" s="13" customFormat="1" ht="38.25" x14ac:dyDescent="0.2">
      <c r="A206" s="2" t="s">
        <v>67</v>
      </c>
      <c r="B206" s="2" t="s">
        <v>372</v>
      </c>
      <c r="C206" s="2">
        <v>1722</v>
      </c>
      <c r="D206" s="2" t="s">
        <v>22</v>
      </c>
      <c r="E206" s="6" t="str">
        <f>HYPERLINK("https://csuc-ub.primo.exlibrisgroup.com/permalink/34CSUC_UB/1eiigjf/alma991002384169706708","07 B-38/4/2-83")</f>
        <v>07 B-38/4/2-83</v>
      </c>
      <c r="F206" s="3" t="s">
        <v>69</v>
      </c>
      <c r="G206" s="2" t="s">
        <v>24</v>
      </c>
      <c r="H206" s="2" t="s">
        <v>302</v>
      </c>
      <c r="I206" s="8"/>
      <c r="J206" s="8"/>
      <c r="K206" s="9"/>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row>
    <row r="207" spans="1:57" s="13" customFormat="1" ht="38.25" x14ac:dyDescent="0.2">
      <c r="A207" s="2" t="s">
        <v>67</v>
      </c>
      <c r="B207" s="2" t="s">
        <v>373</v>
      </c>
      <c r="C207" s="2">
        <v>1723</v>
      </c>
      <c r="D207" s="2" t="s">
        <v>22</v>
      </c>
      <c r="E207" s="6" t="str">
        <f>HYPERLINK("https://csuc-ub.primo.exlibrisgroup.com/permalink/34CSUC_UB/1eiigjf/alma991002383899706708","07 B-38/4/2-76")</f>
        <v>07 B-38/4/2-76</v>
      </c>
      <c r="F207" s="3" t="s">
        <v>335</v>
      </c>
      <c r="G207" s="2" t="s">
        <v>24</v>
      </c>
      <c r="H207" s="2" t="s">
        <v>300</v>
      </c>
      <c r="I207" s="8"/>
      <c r="J207" s="9"/>
      <c r="K207" s="9"/>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row>
    <row r="208" spans="1:57" s="13" customFormat="1" ht="38.25" x14ac:dyDescent="0.2">
      <c r="A208" s="2" t="s">
        <v>67</v>
      </c>
      <c r="B208" s="2" t="s">
        <v>374</v>
      </c>
      <c r="C208" s="2">
        <v>1723</v>
      </c>
      <c r="D208" s="2" t="s">
        <v>22</v>
      </c>
      <c r="E208" s="6" t="str">
        <f>HYPERLINK("https://csuc-ub.primo.exlibrisgroup.com/permalink/34CSUC_UB/1eiigjf/alma991002383929706708","07 B-38/4/2-77")</f>
        <v>07 B-38/4/2-77</v>
      </c>
      <c r="F208" s="3" t="s">
        <v>375</v>
      </c>
      <c r="G208" s="2" t="s">
        <v>24</v>
      </c>
      <c r="H208" s="2" t="s">
        <v>296</v>
      </c>
      <c r="I208" s="9"/>
      <c r="J208" s="9"/>
      <c r="K208" s="9"/>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row>
    <row r="209" spans="1:57" s="13" customFormat="1" ht="38.25" x14ac:dyDescent="0.2">
      <c r="A209" s="2" t="s">
        <v>67</v>
      </c>
      <c r="B209" s="2" t="s">
        <v>376</v>
      </c>
      <c r="C209" s="2">
        <v>1723</v>
      </c>
      <c r="D209" s="2" t="s">
        <v>22</v>
      </c>
      <c r="E209" s="6" t="str">
        <f>HYPERLINK("https://csuc-ub.primo.exlibrisgroup.com/permalink/34CSUC_UB/1eiigjf/alma991002384009706708","07 B-38/4/2-79")</f>
        <v>07 B-38/4/2-79</v>
      </c>
      <c r="F209" s="3" t="s">
        <v>69</v>
      </c>
      <c r="G209" s="2" t="s">
        <v>24</v>
      </c>
      <c r="H209" s="2" t="s">
        <v>73</v>
      </c>
      <c r="I209" s="8"/>
      <c r="J209" s="9"/>
      <c r="K209" s="9"/>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row>
    <row r="210" spans="1:57" s="13" customFormat="1" ht="38.25" x14ac:dyDescent="0.2">
      <c r="A210" s="2" t="s">
        <v>67</v>
      </c>
      <c r="B210" s="2" t="s">
        <v>377</v>
      </c>
      <c r="C210" s="2">
        <v>1723</v>
      </c>
      <c r="D210" s="2" t="s">
        <v>22</v>
      </c>
      <c r="E210" s="6" t="str">
        <f>HYPERLINK("https://csuc-ub.primo.exlibrisgroup.com/permalink/34CSUC_UB/1eiigjf/alma991002384049706708","07 B-38/4/2-80")</f>
        <v>07 B-38/4/2-80</v>
      </c>
      <c r="F210" s="3" t="s">
        <v>335</v>
      </c>
      <c r="G210" s="2" t="s">
        <v>24</v>
      </c>
      <c r="H210" s="2" t="s">
        <v>300</v>
      </c>
      <c r="I210" s="8"/>
      <c r="J210" s="9"/>
      <c r="K210" s="9"/>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row>
    <row r="211" spans="1:57" s="13" customFormat="1" ht="38.25" x14ac:dyDescent="0.2">
      <c r="A211" s="2" t="s">
        <v>67</v>
      </c>
      <c r="B211" s="2" t="s">
        <v>378</v>
      </c>
      <c r="C211" s="2">
        <v>1723</v>
      </c>
      <c r="D211" s="2" t="s">
        <v>22</v>
      </c>
      <c r="E211" s="6" t="str">
        <f>HYPERLINK("https://csuc-ub.primo.exlibrisgroup.com/permalink/34CSUC_UB/1eiigjf/alma991002384089706708","07 B-38/4/2-81")</f>
        <v>07 B-38/4/2-81</v>
      </c>
      <c r="F211" s="3" t="s">
        <v>69</v>
      </c>
      <c r="G211" s="2" t="s">
        <v>24</v>
      </c>
      <c r="H211" s="2" t="s">
        <v>221</v>
      </c>
      <c r="I211" s="9"/>
      <c r="J211" s="9"/>
      <c r="K211" s="9"/>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row>
    <row r="212" spans="1:57" s="13" customFormat="1" ht="25.5" x14ac:dyDescent="0.2">
      <c r="A212" s="2" t="s">
        <v>67</v>
      </c>
      <c r="B212" s="2" t="s">
        <v>379</v>
      </c>
      <c r="C212" s="2">
        <v>1723</v>
      </c>
      <c r="D212" s="2" t="s">
        <v>22</v>
      </c>
      <c r="E212" s="6" t="str">
        <f>HYPERLINK("https://csuc-ub.primo.exlibrisgroup.com/permalink/34CSUC_UB/1eiigjf/alma991002024619706708","07 B-39/2/10-11")</f>
        <v>07 B-39/2/10-11</v>
      </c>
      <c r="F212" s="3" t="s">
        <v>69</v>
      </c>
      <c r="G212" s="2" t="s">
        <v>24</v>
      </c>
      <c r="H212" s="2" t="s">
        <v>70</v>
      </c>
      <c r="I212" s="9"/>
      <c r="J212" s="9"/>
      <c r="K212" s="9"/>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row>
    <row r="213" spans="1:57" s="13" customFormat="1" ht="38.25" x14ac:dyDescent="0.2">
      <c r="A213" s="1"/>
      <c r="B213" s="2" t="s">
        <v>380</v>
      </c>
      <c r="C213" s="2">
        <v>1723</v>
      </c>
      <c r="D213" s="2" t="s">
        <v>46</v>
      </c>
      <c r="E213" s="6" t="str">
        <f>HYPERLINK("https://csuc-ub.primo.exlibrisgroup.com/permalink/34CSUC_UB/1eiigjf/alma991003235539706708","07 C-212/8/20")</f>
        <v>07 C-212/8/20</v>
      </c>
      <c r="F213" s="3" t="s">
        <v>56</v>
      </c>
      <c r="G213" s="2" t="s">
        <v>24</v>
      </c>
      <c r="H213" s="2" t="s">
        <v>47</v>
      </c>
      <c r="I213" s="9"/>
      <c r="J213" s="9"/>
      <c r="K213" s="9"/>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c r="AY213" s="14"/>
      <c r="AZ213" s="14"/>
      <c r="BA213" s="14"/>
      <c r="BB213" s="14"/>
      <c r="BC213" s="14"/>
      <c r="BD213" s="14"/>
      <c r="BE213" s="14"/>
    </row>
    <row r="214" spans="1:57" s="13" customFormat="1" ht="38.25" x14ac:dyDescent="0.2">
      <c r="A214" s="2" t="s">
        <v>67</v>
      </c>
      <c r="B214" s="2" t="s">
        <v>381</v>
      </c>
      <c r="C214" s="2">
        <v>1723</v>
      </c>
      <c r="D214" s="2" t="s">
        <v>46</v>
      </c>
      <c r="E214" s="6" t="str">
        <f>HYPERLINK("https://csuc-ub.primo.exlibrisgroup.com/permalink/34CSUC_UB/1eiigjf/alma991010615309706708","07 Ms 1970 Imp 60")</f>
        <v>07 Ms 1970 Imp 60</v>
      </c>
      <c r="F214" s="1" t="s">
        <v>69</v>
      </c>
      <c r="G214" s="2" t="s">
        <v>24</v>
      </c>
      <c r="H214" s="2" t="s">
        <v>296</v>
      </c>
      <c r="I214" s="9"/>
      <c r="J214" s="9"/>
      <c r="K214" s="9"/>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c r="AY214" s="14"/>
      <c r="AZ214" s="14"/>
      <c r="BA214" s="14"/>
      <c r="BB214" s="14"/>
      <c r="BC214" s="14"/>
      <c r="BD214" s="14"/>
      <c r="BE214" s="14"/>
    </row>
    <row r="215" spans="1:57" s="13" customFormat="1" ht="89.25" x14ac:dyDescent="0.2">
      <c r="A215" s="2"/>
      <c r="B215" s="2" t="s">
        <v>382</v>
      </c>
      <c r="C215" s="1">
        <v>1724</v>
      </c>
      <c r="D215" s="2" t="s">
        <v>22</v>
      </c>
      <c r="E215" s="6" t="str">
        <f>HYPERLINK("https://csuc-ub.primo.exlibrisgroup.com/permalink/34CSUC_UB/1eiigjf/alma991010421339706708","07 Ms 1971 Imp 4")</f>
        <v>07 Ms 1971 Imp 4</v>
      </c>
      <c r="F215" s="1" t="s">
        <v>383</v>
      </c>
      <c r="G215" s="2" t="s">
        <v>24</v>
      </c>
      <c r="H215" s="2" t="s">
        <v>384</v>
      </c>
      <c r="I215" s="9"/>
      <c r="J215" s="9"/>
      <c r="K215" s="9"/>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row>
    <row r="216" spans="1:57" s="13" customFormat="1" ht="38.25" x14ac:dyDescent="0.2">
      <c r="A216" s="2" t="s">
        <v>67</v>
      </c>
      <c r="B216" s="2" t="s">
        <v>385</v>
      </c>
      <c r="C216" s="2">
        <v>1725</v>
      </c>
      <c r="D216" s="2" t="s">
        <v>22</v>
      </c>
      <c r="E216" s="6" t="str">
        <f>HYPERLINK("https://csuc-ub.primo.exlibrisgroup.com/permalink/34CSUC_UB/1eiigjf/alma991002383809706708","07 B-38/4/2-74")</f>
        <v>07 B-38/4/2-74</v>
      </c>
      <c r="F216" s="3" t="s">
        <v>335</v>
      </c>
      <c r="G216" s="2" t="s">
        <v>24</v>
      </c>
      <c r="H216" s="2" t="s">
        <v>306</v>
      </c>
      <c r="I216" s="9"/>
      <c r="J216" s="9"/>
      <c r="K216" s="9"/>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c r="AY216" s="14"/>
      <c r="AZ216" s="14"/>
      <c r="BA216" s="14"/>
      <c r="BB216" s="14"/>
      <c r="BC216" s="14"/>
      <c r="BD216" s="14"/>
      <c r="BE216" s="14"/>
    </row>
    <row r="217" spans="1:57" s="13" customFormat="1" ht="38.25" x14ac:dyDescent="0.2">
      <c r="A217" s="28" t="s">
        <v>386</v>
      </c>
      <c r="B217" s="2" t="s">
        <v>387</v>
      </c>
      <c r="C217" s="2">
        <v>1725</v>
      </c>
      <c r="D217" s="2" t="s">
        <v>388</v>
      </c>
      <c r="E217" s="6" t="str">
        <f>HYPERLINK("https://csuc-ub.primo.exlibrisgroup.com/permalink/34CSUC_UB/1eiigjf/alma991003175789706708","07 C-212/5/29")</f>
        <v>07 C-212/5/29</v>
      </c>
      <c r="F217" s="5"/>
      <c r="G217" s="2" t="s">
        <v>24</v>
      </c>
      <c r="H217" s="2" t="s">
        <v>47</v>
      </c>
      <c r="I217" s="9"/>
      <c r="J217" s="9"/>
      <c r="K217" s="9"/>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c r="AY217" s="14"/>
      <c r="AZ217" s="14"/>
      <c r="BA217" s="14"/>
      <c r="BB217" s="14"/>
      <c r="BC217" s="14"/>
      <c r="BD217" s="14"/>
      <c r="BE217" s="14"/>
    </row>
    <row r="218" spans="1:57" s="13" customFormat="1" ht="38.25" x14ac:dyDescent="0.2">
      <c r="A218" s="2" t="s">
        <v>386</v>
      </c>
      <c r="B218" s="2" t="s">
        <v>389</v>
      </c>
      <c r="C218" s="2">
        <v>1725</v>
      </c>
      <c r="D218" s="2" t="s">
        <v>388</v>
      </c>
      <c r="E218" s="6" t="str">
        <f>HYPERLINK("https://csuc-ub.primo.exlibrisgroup.com/permalink/34CSUC_UB/1eiigjf/alma991001781489706708","07 C-246/7/10-1")</f>
        <v>07 C-246/7/10-1</v>
      </c>
      <c r="F218" s="5"/>
      <c r="G218" s="2" t="s">
        <v>24</v>
      </c>
      <c r="H218" s="2" t="s">
        <v>47</v>
      </c>
      <c r="I218" s="9"/>
      <c r="J218" s="9"/>
      <c r="K218" s="9"/>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c r="AY218" s="14"/>
      <c r="AZ218" s="14"/>
      <c r="BA218" s="14"/>
      <c r="BB218" s="14"/>
      <c r="BC218" s="14"/>
      <c r="BD218" s="14"/>
      <c r="BE218" s="14"/>
    </row>
    <row r="219" spans="1:57" s="13" customFormat="1" ht="25.5" x14ac:dyDescent="0.2">
      <c r="A219" s="2" t="s">
        <v>67</v>
      </c>
      <c r="B219" s="2" t="s">
        <v>390</v>
      </c>
      <c r="C219" s="2">
        <v>1725</v>
      </c>
      <c r="D219" s="2" t="s">
        <v>22</v>
      </c>
      <c r="E219" s="6" t="str">
        <f>HYPERLINK("https://csuc-ub.primo.exlibrisgroup.com/permalink/34CSUC_UB/1eiigjf/alma991003224199706708","07 Ms 1990 Imp 15")</f>
        <v>07 Ms 1990 Imp 15</v>
      </c>
      <c r="F219" s="3" t="s">
        <v>178</v>
      </c>
      <c r="G219" s="2" t="s">
        <v>24</v>
      </c>
      <c r="H219" s="2" t="s">
        <v>391</v>
      </c>
      <c r="I219" s="9"/>
      <c r="J219" s="9"/>
      <c r="K219" s="9"/>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c r="AY219" s="14"/>
      <c r="AZ219" s="14"/>
      <c r="BA219" s="14"/>
      <c r="BB219" s="14"/>
      <c r="BC219" s="14"/>
      <c r="BD219" s="14"/>
      <c r="BE219" s="14"/>
    </row>
    <row r="220" spans="1:57" s="13" customFormat="1" ht="38.25" x14ac:dyDescent="0.2">
      <c r="A220" s="28" t="s">
        <v>386</v>
      </c>
      <c r="B220" s="2" t="s">
        <v>392</v>
      </c>
      <c r="C220" s="2">
        <v>1725</v>
      </c>
      <c r="D220" s="2" t="s">
        <v>388</v>
      </c>
      <c r="E220" s="6" t="str">
        <f>HYPERLINK("https://csuc-ub.primo.exlibrisgroup.com/permalink/34CSUC_UB/1eiigjf/alma991003082049706708","07 XVIII-6692")</f>
        <v>07 XVIII-6692</v>
      </c>
      <c r="F220" s="5"/>
      <c r="G220" s="2" t="s">
        <v>24</v>
      </c>
      <c r="H220" s="2" t="s">
        <v>47</v>
      </c>
      <c r="I220" s="9"/>
      <c r="J220" s="9"/>
      <c r="K220" s="9"/>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row>
    <row r="221" spans="1:57" s="13" customFormat="1" ht="25.5" x14ac:dyDescent="0.2">
      <c r="A221" s="2" t="s">
        <v>67</v>
      </c>
      <c r="B221" s="2" t="s">
        <v>393</v>
      </c>
      <c r="C221" s="2">
        <v>1726</v>
      </c>
      <c r="D221" s="2" t="s">
        <v>46</v>
      </c>
      <c r="E221" s="6" t="str">
        <f>HYPERLINK("https://csuc-ub.primo.exlibrisgroup.com/permalink/34CSUC_UB/1eiigjf/alma991002026849706708","07 B-39/2/10-64")</f>
        <v>07 B-39/2/10-64</v>
      </c>
      <c r="F221" s="3" t="s">
        <v>283</v>
      </c>
      <c r="G221" s="2" t="s">
        <v>24</v>
      </c>
      <c r="H221" s="2" t="s">
        <v>289</v>
      </c>
      <c r="I221" s="9"/>
      <c r="J221" s="9"/>
      <c r="K221" s="9"/>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c r="AY221" s="14"/>
      <c r="AZ221" s="14"/>
      <c r="BA221" s="14"/>
      <c r="BB221" s="14"/>
      <c r="BC221" s="14"/>
      <c r="BD221" s="14"/>
      <c r="BE221" s="14"/>
    </row>
    <row r="222" spans="1:57" s="13" customFormat="1" ht="25.5" x14ac:dyDescent="0.2">
      <c r="A222" s="2" t="s">
        <v>370</v>
      </c>
      <c r="B222" s="2" t="s">
        <v>394</v>
      </c>
      <c r="C222" s="2">
        <v>1726</v>
      </c>
      <c r="D222" s="2" t="s">
        <v>395</v>
      </c>
      <c r="E222" s="6" t="str">
        <f>HYPERLINK("https://csuc-ub.primo.exlibrisgroup.com/permalink/34CSUC_UB/1eiigjf/alma991006787259706708","07 Ms 2003")</f>
        <v>07 Ms 2003</v>
      </c>
      <c r="F222" s="3" t="s">
        <v>396</v>
      </c>
      <c r="G222" s="2" t="s">
        <v>12</v>
      </c>
      <c r="H222" s="2" t="s">
        <v>370</v>
      </c>
      <c r="I222" s="8"/>
      <c r="J222" s="9"/>
      <c r="K222" s="9"/>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c r="AY222" s="14"/>
      <c r="AZ222" s="14"/>
      <c r="BA222" s="14"/>
      <c r="BB222" s="14"/>
      <c r="BC222" s="14"/>
      <c r="BD222" s="14"/>
      <c r="BE222" s="14"/>
    </row>
    <row r="223" spans="1:57" s="13" customFormat="1" ht="38.25" x14ac:dyDescent="0.2">
      <c r="A223" s="1"/>
      <c r="B223" s="2" t="s">
        <v>397</v>
      </c>
      <c r="C223" s="2">
        <v>1726</v>
      </c>
      <c r="D223" s="2" t="s">
        <v>22</v>
      </c>
      <c r="E223" s="6" t="str">
        <f>HYPERLINK("https://csuc-ub.primo.exlibrisgroup.com/permalink/34CSUC_UB/1eiigjf/alma991003102089706708","07 XVIII-6943-42")</f>
        <v>07 XVIII-6943-42</v>
      </c>
      <c r="F223" s="3" t="s">
        <v>311</v>
      </c>
      <c r="G223" s="2" t="s">
        <v>24</v>
      </c>
      <c r="H223" s="2" t="s">
        <v>370</v>
      </c>
      <c r="I223" s="8"/>
      <c r="J223" s="9"/>
      <c r="K223" s="9"/>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c r="AY223" s="14"/>
      <c r="AZ223" s="14"/>
      <c r="BA223" s="14"/>
      <c r="BB223" s="14"/>
      <c r="BC223" s="14"/>
      <c r="BD223" s="14"/>
      <c r="BE223" s="14"/>
    </row>
    <row r="224" spans="1:57" s="13" customFormat="1" x14ac:dyDescent="0.2">
      <c r="A224" s="2" t="s">
        <v>67</v>
      </c>
      <c r="B224" s="2" t="s">
        <v>398</v>
      </c>
      <c r="C224" s="2">
        <v>1727</v>
      </c>
      <c r="D224" s="2" t="s">
        <v>46</v>
      </c>
      <c r="E224" s="6" t="str">
        <f>HYPERLINK("https://csuc-ub.primo.exlibrisgroup.com/permalink/34CSUC_UB/1eiigjf/alma991002068199706708","07 B-67/2/6-8")</f>
        <v>07 B-67/2/6-8</v>
      </c>
      <c r="F224" s="3" t="s">
        <v>304</v>
      </c>
      <c r="G224" s="2" t="s">
        <v>24</v>
      </c>
      <c r="H224" s="2" t="s">
        <v>124</v>
      </c>
      <c r="I224" s="9"/>
      <c r="J224" s="9"/>
      <c r="K224" s="9"/>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c r="AY224" s="14"/>
      <c r="AZ224" s="14"/>
      <c r="BA224" s="14"/>
      <c r="BB224" s="14"/>
      <c r="BC224" s="14"/>
      <c r="BD224" s="14"/>
      <c r="BE224" s="14"/>
    </row>
    <row r="225" spans="1:57" s="13" customFormat="1" ht="38.25" x14ac:dyDescent="0.2">
      <c r="A225" s="2" t="s">
        <v>399</v>
      </c>
      <c r="B225" s="2" t="s">
        <v>400</v>
      </c>
      <c r="C225" s="2">
        <v>1729</v>
      </c>
      <c r="D225" s="2" t="s">
        <v>401</v>
      </c>
      <c r="E225" s="6" t="str">
        <f>HYPERLINK("https://csuc-ub.primo.exlibrisgroup.com/permalink/34CSUC_UB/1eiigjf/alma991003353139706708","07 173/1/8")</f>
        <v>07 173/1/8</v>
      </c>
      <c r="F225" s="5"/>
      <c r="G225" s="2" t="s">
        <v>24</v>
      </c>
      <c r="H225" s="2" t="s">
        <v>47</v>
      </c>
      <c r="I225" s="9"/>
      <c r="J225" s="9"/>
      <c r="K225" s="9"/>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row>
    <row r="226" spans="1:57" s="13" customFormat="1" ht="25.5" x14ac:dyDescent="0.2">
      <c r="A226" s="2" t="s">
        <v>402</v>
      </c>
      <c r="B226" s="2" t="s">
        <v>403</v>
      </c>
      <c r="C226" s="2">
        <v>1730</v>
      </c>
      <c r="D226" s="2" t="s">
        <v>326</v>
      </c>
      <c r="E226" s="6" t="str">
        <f>HYPERLINK("https://csuc-ub.primo.exlibrisgroup.com/permalink/34CSUC_UB/1eiigjf/alma991006793229706708","07 Ms 2004")</f>
        <v>07 Ms 2004</v>
      </c>
      <c r="F226" s="3" t="s">
        <v>404</v>
      </c>
      <c r="G226" s="2" t="s">
        <v>12</v>
      </c>
      <c r="H226" s="2" t="s">
        <v>370</v>
      </c>
      <c r="I226" s="8"/>
      <c r="J226" s="9"/>
      <c r="K226" s="9"/>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c r="AY226" s="14"/>
      <c r="AZ226" s="14"/>
      <c r="BA226" s="14"/>
      <c r="BB226" s="14"/>
      <c r="BC226" s="14"/>
      <c r="BD226" s="14"/>
      <c r="BE226" s="14"/>
    </row>
    <row r="227" spans="1:57" s="13" customFormat="1" ht="38.25" x14ac:dyDescent="0.2">
      <c r="A227" s="2" t="s">
        <v>405</v>
      </c>
      <c r="B227" s="2" t="s">
        <v>406</v>
      </c>
      <c r="C227" s="2">
        <v>1730</v>
      </c>
      <c r="D227" s="2" t="s">
        <v>17</v>
      </c>
      <c r="E227" s="6" t="str">
        <f>HYPERLINK("https://csuc-ub.primo.exlibrisgroup.com/permalink/34CSUC_UB/1eiigjf/alma991003304669706708","07 XVIII-9696")</f>
        <v>07 XVIII-9696</v>
      </c>
      <c r="F227" s="5"/>
      <c r="G227" s="2" t="s">
        <v>24</v>
      </c>
      <c r="H227" s="2" t="s">
        <v>158</v>
      </c>
      <c r="I227" s="9"/>
      <c r="J227" s="9"/>
      <c r="K227" s="9"/>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c r="AY227" s="14"/>
      <c r="AZ227" s="14"/>
      <c r="BA227" s="14"/>
      <c r="BB227" s="14"/>
      <c r="BC227" s="14"/>
      <c r="BD227" s="14"/>
      <c r="BE227" s="14"/>
    </row>
    <row r="228" spans="1:57" s="13" customFormat="1" ht="38.25" x14ac:dyDescent="0.2">
      <c r="A228" s="2" t="s">
        <v>370</v>
      </c>
      <c r="B228" s="2" t="s">
        <v>407</v>
      </c>
      <c r="C228" s="2">
        <v>1731</v>
      </c>
      <c r="D228" s="2" t="s">
        <v>326</v>
      </c>
      <c r="E228" s="6" t="str">
        <f>HYPERLINK("https://csuc-ub.primo.exlibrisgroup.com/permalink/34CSUC_UB/1eiigjf/alma991001857989706708","07 C-240/2/8")</f>
        <v>07 C-240/2/8</v>
      </c>
      <c r="F228" s="3" t="s">
        <v>69</v>
      </c>
      <c r="G228" s="2" t="s">
        <v>24</v>
      </c>
      <c r="H228" s="2" t="s">
        <v>370</v>
      </c>
      <c r="I228" s="9"/>
      <c r="J228" s="9"/>
      <c r="K228" s="9"/>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c r="AY228" s="14"/>
      <c r="AZ228" s="14"/>
      <c r="BA228" s="14"/>
      <c r="BB228" s="14"/>
      <c r="BC228" s="14"/>
      <c r="BD228" s="14"/>
      <c r="BE228" s="14"/>
    </row>
    <row r="229" spans="1:57" s="13" customFormat="1" ht="38.25" x14ac:dyDescent="0.2">
      <c r="A229" s="2" t="s">
        <v>67</v>
      </c>
      <c r="B229" s="2" t="s">
        <v>408</v>
      </c>
      <c r="C229" s="2">
        <v>1734</v>
      </c>
      <c r="D229" s="2" t="s">
        <v>22</v>
      </c>
      <c r="E229" s="6" t="str">
        <f>HYPERLINK("https://csuc-ub.primo.exlibrisgroup.com/permalink/34CSUC_UB/1eiigjf/alma991002024399706708","07 B-39/2/10-5")</f>
        <v>07 B-39/2/10-5</v>
      </c>
      <c r="F229" s="3" t="s">
        <v>248</v>
      </c>
      <c r="G229" s="2" t="s">
        <v>24</v>
      </c>
      <c r="H229" s="2" t="s">
        <v>409</v>
      </c>
      <c r="I229" s="9"/>
      <c r="J229" s="9"/>
      <c r="K229" s="9"/>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row>
    <row r="230" spans="1:57" s="13" customFormat="1" ht="25.5" x14ac:dyDescent="0.2">
      <c r="A230" s="2" t="s">
        <v>410</v>
      </c>
      <c r="B230" s="2" t="s">
        <v>411</v>
      </c>
      <c r="C230" s="2">
        <v>1734</v>
      </c>
      <c r="D230" s="2" t="s">
        <v>22</v>
      </c>
      <c r="E230" s="6" t="str">
        <f>HYPERLINK("https://csuc-ub.primo.exlibrisgroup.com/permalink/34CSUC_UB/1eiigjf/alma991005441059706708","07 B-64/4/24-1")</f>
        <v>07 B-64/4/24-1</v>
      </c>
      <c r="F230" s="3" t="s">
        <v>33</v>
      </c>
      <c r="G230" s="2" t="s">
        <v>24</v>
      </c>
      <c r="H230" s="2" t="s">
        <v>47</v>
      </c>
      <c r="I230" s="9"/>
      <c r="J230" s="9"/>
      <c r="K230" s="9"/>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c r="AY230" s="14"/>
      <c r="AZ230" s="14"/>
      <c r="BA230" s="14"/>
      <c r="BB230" s="14"/>
      <c r="BC230" s="14"/>
      <c r="BD230" s="14"/>
      <c r="BE230" s="14"/>
    </row>
    <row r="231" spans="1:57" s="13" customFormat="1" ht="25.5" x14ac:dyDescent="0.2">
      <c r="A231" s="2" t="s">
        <v>410</v>
      </c>
      <c r="B231" s="2" t="s">
        <v>412</v>
      </c>
      <c r="C231" s="2">
        <v>1734</v>
      </c>
      <c r="D231" s="2" t="s">
        <v>22</v>
      </c>
      <c r="E231" s="6" t="str">
        <f>HYPERLINK("https://csuc-ub.primo.exlibrisgroup.com/permalink/34CSUC_UB/1eiigjf/alma991005440969706708","07 B-64/4/24-2")</f>
        <v>07 B-64/4/24-2</v>
      </c>
      <c r="F231" s="3" t="s">
        <v>33</v>
      </c>
      <c r="G231" s="2" t="s">
        <v>24</v>
      </c>
      <c r="H231" s="2" t="s">
        <v>47</v>
      </c>
      <c r="I231" s="9"/>
      <c r="J231" s="9"/>
      <c r="K231" s="9"/>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c r="AY231" s="14"/>
      <c r="AZ231" s="14"/>
      <c r="BA231" s="14"/>
      <c r="BB231" s="14"/>
      <c r="BC231" s="14"/>
      <c r="BD231" s="14"/>
      <c r="BE231" s="14"/>
    </row>
    <row r="232" spans="1:57" s="13" customFormat="1" ht="38.25" x14ac:dyDescent="0.2">
      <c r="A232" s="2" t="s">
        <v>67</v>
      </c>
      <c r="B232" s="2" t="s">
        <v>413</v>
      </c>
      <c r="C232" s="2">
        <v>1734</v>
      </c>
      <c r="D232" s="2" t="s">
        <v>22</v>
      </c>
      <c r="E232" s="6" t="str">
        <f>HYPERLINK("https://csuc-ub.primo.exlibrisgroup.com/permalink/34CSUC_UB/1eiigjf/alma991002132519706708","07 E-RF-A-43")</f>
        <v>07 E-RF-A-43</v>
      </c>
      <c r="F232" s="3" t="s">
        <v>248</v>
      </c>
      <c r="G232" s="2" t="s">
        <v>24</v>
      </c>
      <c r="H232" s="2" t="s">
        <v>124</v>
      </c>
      <c r="I232" s="9"/>
      <c r="J232" s="9"/>
      <c r="K232" s="9"/>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c r="AY232" s="14"/>
      <c r="AZ232" s="14"/>
      <c r="BA232" s="14"/>
      <c r="BB232" s="14"/>
      <c r="BC232" s="14"/>
      <c r="BD232" s="14"/>
      <c r="BE232" s="14"/>
    </row>
    <row r="233" spans="1:57" s="20" customFormat="1" ht="38.25" x14ac:dyDescent="0.2">
      <c r="A233" s="2" t="s">
        <v>67</v>
      </c>
      <c r="B233" s="2" t="s">
        <v>414</v>
      </c>
      <c r="C233" s="2">
        <v>1734</v>
      </c>
      <c r="D233" s="2" t="s">
        <v>22</v>
      </c>
      <c r="E233" s="6" t="str">
        <f>HYPERLINK("https://csuc-ub.primo.exlibrisgroup.com/permalink/34CSUC_UB/1eiigjf/alma991003088879706708","07 XVIII-6849")</f>
        <v>07 XVIII-6849</v>
      </c>
      <c r="F233" s="3" t="s">
        <v>248</v>
      </c>
      <c r="G233" s="2" t="s">
        <v>24</v>
      </c>
      <c r="H233" s="2" t="s">
        <v>409</v>
      </c>
      <c r="I233" s="9"/>
      <c r="J233" s="9"/>
      <c r="K233" s="9"/>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row>
    <row r="234" spans="1:57" s="14" customFormat="1" ht="25.5" x14ac:dyDescent="0.2">
      <c r="A234" s="1"/>
      <c r="B234" s="2" t="s">
        <v>415</v>
      </c>
      <c r="C234" s="2">
        <v>1736</v>
      </c>
      <c r="D234" s="2" t="s">
        <v>416</v>
      </c>
      <c r="E234" s="6" t="str">
        <f>HYPERLINK("https://csuc-ub.primo.exlibrisgroup.com/permalink/34CSUC_UB/1eiigjf/alma991010240659706708","07 C-193/8/31")</f>
        <v>07 C-193/8/31</v>
      </c>
      <c r="F234" s="5"/>
      <c r="G234" s="2" t="s">
        <v>24</v>
      </c>
      <c r="H234" s="2" t="s">
        <v>47</v>
      </c>
      <c r="I234" s="9"/>
      <c r="J234" s="9"/>
      <c r="K234" s="9"/>
    </row>
    <row r="235" spans="1:57" s="14" customFormat="1" ht="25.5" x14ac:dyDescent="0.2">
      <c r="A235" s="2" t="s">
        <v>67</v>
      </c>
      <c r="B235" s="2" t="s">
        <v>417</v>
      </c>
      <c r="C235" s="2">
        <v>1742</v>
      </c>
      <c r="D235" s="2" t="s">
        <v>22</v>
      </c>
      <c r="E235" s="6" t="str">
        <f>HYPERLINK("https://csuc-ub.primo.exlibrisgroup.com/permalink/34CSUC_UB/1eiigjf/alma991001799939706708","07 C-245/3/12")</f>
        <v>07 C-245/3/12</v>
      </c>
      <c r="F235" s="3" t="s">
        <v>207</v>
      </c>
      <c r="G235" s="2" t="s">
        <v>24</v>
      </c>
      <c r="H235" s="2" t="s">
        <v>289</v>
      </c>
      <c r="I235" s="9"/>
      <c r="J235" s="9"/>
      <c r="K235" s="9"/>
    </row>
    <row r="236" spans="1:57" s="14" customFormat="1" ht="38.25" x14ac:dyDescent="0.2">
      <c r="A236" s="2" t="s">
        <v>67</v>
      </c>
      <c r="B236" s="2" t="s">
        <v>418</v>
      </c>
      <c r="C236" s="2">
        <v>1743</v>
      </c>
      <c r="D236" s="2" t="s">
        <v>395</v>
      </c>
      <c r="E236" s="6" t="str">
        <f>HYPERLINK("https://csuc-ub.primo.exlibrisgroup.com/permalink/34CSUC_UB/1eiigjf/alma991002077019706708","07 B-38/2/6-28")</f>
        <v>07 B-38/2/6-28</v>
      </c>
      <c r="F236" s="3" t="s">
        <v>335</v>
      </c>
      <c r="G236" s="2" t="s">
        <v>24</v>
      </c>
      <c r="H236" s="2" t="s">
        <v>419</v>
      </c>
      <c r="I236" s="8"/>
      <c r="J236" s="9"/>
      <c r="K236" s="9"/>
    </row>
    <row r="237" spans="1:57" s="14" customFormat="1" ht="25.5" x14ac:dyDescent="0.2">
      <c r="A237" s="2" t="s">
        <v>67</v>
      </c>
      <c r="B237" s="2" t="s">
        <v>420</v>
      </c>
      <c r="C237" s="2">
        <v>1743</v>
      </c>
      <c r="D237" s="2" t="s">
        <v>22</v>
      </c>
      <c r="E237" s="6" t="str">
        <f>HYPERLINK("https://csuc-ub.primo.exlibrisgroup.com/permalink/34CSUC_UB/1eiigjf/alma991002026789706708","07 B-39/2/10-63")</f>
        <v>07 B-39/2/10-63</v>
      </c>
      <c r="F237" s="3" t="s">
        <v>69</v>
      </c>
      <c r="G237" s="2" t="s">
        <v>24</v>
      </c>
      <c r="H237" s="2" t="s">
        <v>70</v>
      </c>
      <c r="I237" s="9"/>
      <c r="J237" s="9"/>
      <c r="K237" s="9"/>
    </row>
    <row r="238" spans="1:57" s="14" customFormat="1" ht="38.25" x14ac:dyDescent="0.2">
      <c r="A238" s="2" t="s">
        <v>421</v>
      </c>
      <c r="B238" s="2" t="s">
        <v>422</v>
      </c>
      <c r="C238" s="2">
        <v>1746</v>
      </c>
      <c r="D238" s="2" t="s">
        <v>22</v>
      </c>
      <c r="E238" s="6" t="str">
        <f>HYPERLINK("https://csuc-ub.primo.exlibrisgroup.com/permalink/34CSUC_UB/1eiigjf/alma991006522379706708","07 B-66/1/1-21")</f>
        <v>07 B-66/1/1-21</v>
      </c>
      <c r="F238" s="3" t="s">
        <v>248</v>
      </c>
      <c r="G238" s="2" t="s">
        <v>24</v>
      </c>
      <c r="H238" s="2" t="s">
        <v>370</v>
      </c>
      <c r="I238" s="8"/>
      <c r="J238" s="9"/>
      <c r="K238" s="9"/>
    </row>
    <row r="239" spans="1:57" s="14" customFormat="1" ht="38.25" x14ac:dyDescent="0.2">
      <c r="A239" s="2" t="s">
        <v>421</v>
      </c>
      <c r="B239" s="2" t="s">
        <v>423</v>
      </c>
      <c r="C239" s="2">
        <v>1746</v>
      </c>
      <c r="D239" s="2" t="s">
        <v>22</v>
      </c>
      <c r="E239" s="6" t="str">
        <f>HYPERLINK("https://csuc-ub.primo.exlibrisgroup.com/permalink/34CSUC_UB/1eiigjf/alma991006524999706708","07 B-66/1/1-24")</f>
        <v>07 B-66/1/1-24</v>
      </c>
      <c r="F239" s="3" t="s">
        <v>248</v>
      </c>
      <c r="G239" s="2" t="s">
        <v>24</v>
      </c>
      <c r="H239" s="2" t="s">
        <v>370</v>
      </c>
      <c r="I239" s="8"/>
      <c r="J239" s="9"/>
      <c r="K239" s="9"/>
    </row>
    <row r="240" spans="1:57" s="14" customFormat="1" ht="25.5" x14ac:dyDescent="0.2">
      <c r="A240" s="2" t="s">
        <v>370</v>
      </c>
      <c r="B240" s="2" t="s">
        <v>424</v>
      </c>
      <c r="C240" s="2">
        <v>1749</v>
      </c>
      <c r="D240" s="2" t="s">
        <v>46</v>
      </c>
      <c r="E240" s="6" t="str">
        <f>HYPERLINK("https://csuc-ub.primo.exlibrisgroup.com/permalink/34CSUC_UB/1eiigjf/alma991006802749706708","07 Ms 2005")</f>
        <v>07 Ms 2005</v>
      </c>
      <c r="F240" s="3" t="s">
        <v>396</v>
      </c>
      <c r="G240" s="2" t="s">
        <v>12</v>
      </c>
      <c r="H240" s="2" t="s">
        <v>370</v>
      </c>
      <c r="I240" s="8"/>
      <c r="J240" s="9"/>
      <c r="K240" s="9"/>
    </row>
    <row r="241" spans="1:11" s="14" customFormat="1" ht="25.5" x14ac:dyDescent="0.2">
      <c r="A241" s="2" t="s">
        <v>370</v>
      </c>
      <c r="B241" s="2" t="s">
        <v>425</v>
      </c>
      <c r="C241" s="2">
        <v>1750</v>
      </c>
      <c r="D241" s="2" t="s">
        <v>395</v>
      </c>
      <c r="E241" s="6" t="str">
        <f>HYPERLINK("https://csuc-ub.primo.exlibrisgroup.com/permalink/34CSUC_UB/1eiigjf/alma991002230649706708","07 XVIII-2544")</f>
        <v>07 XVIII-2544</v>
      </c>
      <c r="F241" s="3" t="s">
        <v>396</v>
      </c>
      <c r="G241" s="2" t="s">
        <v>24</v>
      </c>
      <c r="H241" s="2" t="s">
        <v>370</v>
      </c>
      <c r="I241" s="9"/>
      <c r="J241" s="9"/>
      <c r="K241" s="9"/>
    </row>
    <row r="242" spans="1:11" s="14" customFormat="1" ht="25.5" x14ac:dyDescent="0.2">
      <c r="A242" s="2" t="s">
        <v>426</v>
      </c>
      <c r="B242" s="2" t="s">
        <v>427</v>
      </c>
      <c r="C242" s="2">
        <v>1762</v>
      </c>
      <c r="D242" s="2" t="s">
        <v>46</v>
      </c>
      <c r="E242" s="6" t="str">
        <f>HYPERLINK("https://csuc-ub.primo.exlibrisgroup.com/permalink/34CSUC_UB/1eiigjf/alma991006828849706708","07 Ms 2006")</f>
        <v>07 Ms 2006</v>
      </c>
      <c r="F242" s="3" t="s">
        <v>396</v>
      </c>
      <c r="G242" s="2" t="s">
        <v>12</v>
      </c>
      <c r="H242" s="2" t="s">
        <v>370</v>
      </c>
      <c r="I242" s="8"/>
      <c r="J242" s="9"/>
      <c r="K242" s="9"/>
    </row>
    <row r="243" spans="1:11" s="14" customFormat="1" ht="38.25" x14ac:dyDescent="0.2">
      <c r="A243" s="2" t="s">
        <v>428</v>
      </c>
      <c r="B243" s="2" t="s">
        <v>429</v>
      </c>
      <c r="C243" s="2">
        <v>1770</v>
      </c>
      <c r="D243" s="2" t="s">
        <v>118</v>
      </c>
      <c r="E243" s="6" t="str">
        <f>HYPERLINK("https://csuc-ub.primo.exlibrisgroup.com/permalink/34CSUC_UB/1eiigjf/alma991003226479706708","07 Ms 1007 Imp 3")</f>
        <v>07 Ms 1007 Imp 3</v>
      </c>
      <c r="F243" s="3" t="s">
        <v>102</v>
      </c>
      <c r="G243" s="2" t="s">
        <v>24</v>
      </c>
      <c r="H243" s="2" t="s">
        <v>47</v>
      </c>
      <c r="I243" s="8"/>
      <c r="J243" s="9"/>
      <c r="K243" s="9"/>
    </row>
    <row r="244" spans="1:11" s="14" customFormat="1" ht="38.25" x14ac:dyDescent="0.2">
      <c r="A244" s="2" t="s">
        <v>67</v>
      </c>
      <c r="B244" s="2" t="s">
        <v>430</v>
      </c>
      <c r="C244" s="2">
        <v>1775</v>
      </c>
      <c r="D244" s="2" t="s">
        <v>431</v>
      </c>
      <c r="E244" s="6" t="str">
        <f>HYPERLINK("https://csuc-ub.primo.exlibrisgroup.com/permalink/34CSUC_UB/1eiigjf/alma991002448559706708","07 B-38/6/5-24")</f>
        <v>07 B-38/6/5-24</v>
      </c>
      <c r="F244" s="3" t="s">
        <v>375</v>
      </c>
      <c r="G244" s="2" t="s">
        <v>24</v>
      </c>
      <c r="H244" s="2" t="s">
        <v>359</v>
      </c>
      <c r="I244" s="8"/>
      <c r="J244" s="9"/>
      <c r="K244" s="9"/>
    </row>
    <row r="245" spans="1:11" s="14" customFormat="1" ht="25.5" x14ac:dyDescent="0.2">
      <c r="A245" s="2" t="s">
        <v>512</v>
      </c>
      <c r="B245" s="2" t="s">
        <v>432</v>
      </c>
      <c r="C245" s="2">
        <v>1775</v>
      </c>
      <c r="D245" s="2" t="s">
        <v>22</v>
      </c>
      <c r="E245" s="6" t="str">
        <f>HYPERLINK("https://csuc-ub.primo.exlibrisgroup.com/permalink/34CSUC_UB/1eiigjf/alma991009191589706708","07 Ms 386")</f>
        <v>07 Ms 386</v>
      </c>
      <c r="F245" s="5"/>
      <c r="G245" s="2" t="s">
        <v>12</v>
      </c>
      <c r="H245" s="2" t="s">
        <v>13</v>
      </c>
      <c r="I245" s="8"/>
      <c r="J245" s="8"/>
      <c r="K245" s="9"/>
    </row>
    <row r="246" spans="1:11" s="14" customFormat="1" ht="25.5" x14ac:dyDescent="0.2">
      <c r="A246" s="2" t="s">
        <v>67</v>
      </c>
      <c r="B246" s="2" t="s">
        <v>433</v>
      </c>
      <c r="C246" s="2">
        <v>1775</v>
      </c>
      <c r="D246" s="2" t="s">
        <v>215</v>
      </c>
      <c r="E246" s="6" t="str">
        <f>HYPERLINK("https://csuc-ub.primo.exlibrisgroup.com/permalink/34CSUC_UB/1eiigjf/alma991002140929706708","XVIII-8/I/26 (Dret)")</f>
        <v>XVIII-8/I/26 (Dret)</v>
      </c>
      <c r="F246" s="3" t="s">
        <v>283</v>
      </c>
      <c r="G246" s="2" t="s">
        <v>24</v>
      </c>
      <c r="H246" s="2" t="s">
        <v>289</v>
      </c>
      <c r="I246" s="9"/>
      <c r="J246" s="9"/>
      <c r="K246" s="9"/>
    </row>
    <row r="247" spans="1:11" s="14" customFormat="1" ht="38.25" x14ac:dyDescent="0.2">
      <c r="A247" s="2" t="s">
        <v>434</v>
      </c>
      <c r="B247" s="2" t="s">
        <v>435</v>
      </c>
      <c r="C247" s="2">
        <v>1794</v>
      </c>
      <c r="D247" s="2" t="s">
        <v>22</v>
      </c>
      <c r="E247" s="6" t="str">
        <f>HYPERLINK("https://csuc-ub.primo.exlibrisgroup.com/permalink/34CSUC_UB/1eiigjf/alma991002230419706708","07 XVII-5951")</f>
        <v>07 XVII-5951</v>
      </c>
      <c r="F247" s="5"/>
      <c r="G247" s="2" t="s">
        <v>24</v>
      </c>
      <c r="H247" s="2" t="s">
        <v>13</v>
      </c>
      <c r="I247" s="8"/>
      <c r="J247" s="8"/>
      <c r="K247" s="9"/>
    </row>
    <row r="248" spans="1:11" s="14" customFormat="1" ht="25.5" x14ac:dyDescent="0.2">
      <c r="A248" s="1"/>
      <c r="B248" s="2" t="s">
        <v>436</v>
      </c>
      <c r="C248" s="2" t="s">
        <v>437</v>
      </c>
      <c r="D248" s="2" t="s">
        <v>22</v>
      </c>
      <c r="E248" s="6" t="str">
        <f>HYPERLINK("https://csuc-ub.primo.exlibrisgroup.com/permalink/34CSUC_UB/1eiigjf/alma991003226419706708","07 Ms 1007 Imp 1")</f>
        <v>07 Ms 1007 Imp 1</v>
      </c>
      <c r="F248" s="3" t="s">
        <v>438</v>
      </c>
      <c r="G248" s="2" t="s">
        <v>24</v>
      </c>
      <c r="H248" s="2" t="s">
        <v>439</v>
      </c>
      <c r="I248" s="9"/>
      <c r="J248" s="9"/>
      <c r="K248" s="9"/>
    </row>
    <row r="249" spans="1:11" s="14" customFormat="1" ht="25.5" x14ac:dyDescent="0.2">
      <c r="A249" s="1"/>
      <c r="B249" s="2" t="s">
        <v>440</v>
      </c>
      <c r="C249" s="1" t="s">
        <v>441</v>
      </c>
      <c r="D249" s="1"/>
      <c r="E249" s="6" t="str">
        <f>HYPERLINK("https://csuc-ub.primo.exlibrisgroup.com/permalink/34CSUC_UB/1eiigjf/alma991010363079706708","07 Ms 1969 Imp 9")</f>
        <v>07 Ms 1969 Imp 9</v>
      </c>
      <c r="F249" s="1"/>
      <c r="G249" s="2" t="s">
        <v>24</v>
      </c>
      <c r="H249" s="2" t="s">
        <v>442</v>
      </c>
      <c r="I249" s="9"/>
      <c r="J249" s="9"/>
      <c r="K249" s="9"/>
    </row>
    <row r="250" spans="1:11" s="14" customFormat="1" ht="102" x14ac:dyDescent="0.2">
      <c r="A250" s="2" t="s">
        <v>443</v>
      </c>
      <c r="B250" s="2" t="s">
        <v>444</v>
      </c>
      <c r="C250" s="2" t="s">
        <v>445</v>
      </c>
      <c r="D250" s="2" t="s">
        <v>446</v>
      </c>
      <c r="E250" s="6" t="str">
        <f>HYPERLINK("https://csuc-ub.primo.exlibrisgroup.com/permalink/34CSUC_UB/1eiigjf/alma991010468059706708","07 Ms 1974 Imp 9")</f>
        <v>07 Ms 1974 Imp 9</v>
      </c>
      <c r="F250" s="1" t="s">
        <v>50</v>
      </c>
      <c r="G250" s="2" t="s">
        <v>24</v>
      </c>
      <c r="H250" s="2" t="s">
        <v>447</v>
      </c>
      <c r="I250" s="9"/>
      <c r="J250" s="9"/>
      <c r="K250" s="9"/>
    </row>
    <row r="251" spans="1:11" s="14" customFormat="1" ht="63.75" x14ac:dyDescent="0.2">
      <c r="A251" s="2" t="s">
        <v>267</v>
      </c>
      <c r="B251" s="2" t="s">
        <v>448</v>
      </c>
      <c r="C251" s="1" t="s">
        <v>449</v>
      </c>
      <c r="D251" s="2" t="s">
        <v>22</v>
      </c>
      <c r="E251" s="6" t="str">
        <f>HYPERLINK("https://csuc-ub.primo.exlibrisgroup.com/permalink/34CSUC_UB/1eiigjf/alma991002383029706708","07 Ms 1969 Imp 2")</f>
        <v>07 Ms 1969 Imp 2</v>
      </c>
      <c r="F251" s="2" t="s">
        <v>69</v>
      </c>
      <c r="G251" s="2" t="s">
        <v>24</v>
      </c>
      <c r="H251" s="2" t="s">
        <v>124</v>
      </c>
      <c r="I251" s="9"/>
      <c r="J251" s="9"/>
      <c r="K251" s="9"/>
    </row>
    <row r="252" spans="1:11" s="14" customFormat="1" ht="25.5" x14ac:dyDescent="0.2">
      <c r="A252" s="1"/>
      <c r="B252" s="2" t="s">
        <v>450</v>
      </c>
      <c r="C252" s="1" t="s">
        <v>449</v>
      </c>
      <c r="D252" s="2" t="s">
        <v>22</v>
      </c>
      <c r="E252" s="6" t="str">
        <f>HYPERLINK("https://csuc-ub.primo.exlibrisgroup.com/permalink/34CSUC_UB/1eiigjf/alma991010366329706708","07 Ms 1969 Imp 9bis")</f>
        <v>07 Ms 1969 Imp 9bis</v>
      </c>
      <c r="F252" s="1" t="s">
        <v>283</v>
      </c>
      <c r="G252" s="2" t="s">
        <v>24</v>
      </c>
      <c r="H252" s="2" t="s">
        <v>439</v>
      </c>
      <c r="I252" s="9"/>
      <c r="J252" s="9"/>
      <c r="K252" s="9"/>
    </row>
    <row r="253" spans="1:11" s="14" customFormat="1" ht="114.75" x14ac:dyDescent="0.2">
      <c r="A253" s="2" t="s">
        <v>267</v>
      </c>
      <c r="B253" s="2" t="s">
        <v>451</v>
      </c>
      <c r="C253" s="1" t="s">
        <v>449</v>
      </c>
      <c r="D253" s="2" t="s">
        <v>22</v>
      </c>
      <c r="E253" s="6" t="str">
        <f>HYPERLINK("https://csuc-ub.primo.exlibrisgroup.com/permalink/34CSUC_UB/1eiigjf/alma991010391509706708","07 Ms 1970 Imp 29")</f>
        <v>07 Ms 1970 Imp 29</v>
      </c>
      <c r="F253" s="1" t="s">
        <v>248</v>
      </c>
      <c r="G253" s="2" t="s">
        <v>24</v>
      </c>
      <c r="H253" s="2" t="s">
        <v>452</v>
      </c>
      <c r="I253" s="9"/>
      <c r="J253" s="9"/>
      <c r="K253" s="9"/>
    </row>
    <row r="254" spans="1:11" s="14" customFormat="1" ht="76.5" x14ac:dyDescent="0.2">
      <c r="A254" s="1"/>
      <c r="B254" s="2" t="s">
        <v>453</v>
      </c>
      <c r="C254" s="1" t="s">
        <v>454</v>
      </c>
      <c r="D254" s="2" t="s">
        <v>22</v>
      </c>
      <c r="E254" s="6" t="str">
        <f>HYPERLINK("https://csuc-ub.primo.exlibrisgroup.com/permalink/34CSUC_UB/1eiigjf/alma991010365199706708","07 Ms 1969 Imp 13")</f>
        <v>07 Ms 1969 Imp 13</v>
      </c>
      <c r="F254" s="1" t="s">
        <v>283</v>
      </c>
      <c r="G254" s="2" t="s">
        <v>24</v>
      </c>
      <c r="H254" s="2" t="s">
        <v>455</v>
      </c>
      <c r="I254" s="9"/>
      <c r="J254" s="9"/>
      <c r="K254" s="9"/>
    </row>
    <row r="255" spans="1:11" s="14" customFormat="1" ht="38.25" x14ac:dyDescent="0.2">
      <c r="A255" s="2" t="s">
        <v>456</v>
      </c>
      <c r="B255" s="2" t="s">
        <v>457</v>
      </c>
      <c r="C255" s="2" t="s">
        <v>458</v>
      </c>
      <c r="D255" s="2" t="s">
        <v>22</v>
      </c>
      <c r="E255" s="6" t="str">
        <f>HYPERLINK("https://csuc-ub.primo.exlibrisgroup.com/permalink/34CSUC_UB/1eiigjf/alma991002383099706708","07 B-38/4/2-59 bis")</f>
        <v>07 B-38/4/2-59 bis</v>
      </c>
      <c r="F255" s="3" t="s">
        <v>69</v>
      </c>
      <c r="G255" s="2" t="s">
        <v>24</v>
      </c>
      <c r="H255" s="2" t="s">
        <v>124</v>
      </c>
      <c r="I255" s="9"/>
      <c r="J255" s="9"/>
      <c r="K255" s="9"/>
    </row>
    <row r="256" spans="1:11" s="14" customFormat="1" ht="51" x14ac:dyDescent="0.2">
      <c r="A256" s="1"/>
      <c r="B256" s="2" t="s">
        <v>459</v>
      </c>
      <c r="C256" s="1" t="s">
        <v>460</v>
      </c>
      <c r="D256" s="2" t="s">
        <v>22</v>
      </c>
      <c r="E256" s="6" t="str">
        <f>HYPERLINK("https://csuc-ub.primo.exlibrisgroup.com/permalink/34CSUC_UB/1eiigjf/alma991010363639706708","07 Ms 1969 Imp 10")</f>
        <v>07 Ms 1969 Imp 10</v>
      </c>
      <c r="F256" s="1" t="s">
        <v>69</v>
      </c>
      <c r="G256" s="2" t="s">
        <v>24</v>
      </c>
      <c r="H256" s="2" t="s">
        <v>461</v>
      </c>
      <c r="I256" s="9"/>
      <c r="J256" s="9"/>
      <c r="K256" s="9"/>
    </row>
    <row r="257" spans="1:11" s="14" customFormat="1" ht="63.75" x14ac:dyDescent="0.2">
      <c r="A257" s="1"/>
      <c r="B257" s="2" t="s">
        <v>462</v>
      </c>
      <c r="C257" s="1" t="s">
        <v>463</v>
      </c>
      <c r="D257" s="2" t="s">
        <v>22</v>
      </c>
      <c r="E257" s="6" t="str">
        <f>HYPERLINK("https://csuc-ub.primo.exlibrisgroup.com/permalink/34CSUC_UB/1eiigjf/alma991010363969706708","07 Ms 1969 Imp 11")</f>
        <v>07 Ms 1969 Imp 11</v>
      </c>
      <c r="F257" s="1" t="s">
        <v>464</v>
      </c>
      <c r="G257" s="2" t="s">
        <v>24</v>
      </c>
      <c r="H257" s="2" t="s">
        <v>461</v>
      </c>
      <c r="I257" s="9"/>
      <c r="J257" s="9"/>
      <c r="K257" s="9"/>
    </row>
    <row r="258" spans="1:11" s="14" customFormat="1" ht="153" x14ac:dyDescent="0.2">
      <c r="A258" s="2" t="s">
        <v>465</v>
      </c>
      <c r="B258" s="2" t="s">
        <v>466</v>
      </c>
      <c r="C258" s="1" t="s">
        <v>467</v>
      </c>
      <c r="D258" s="2" t="s">
        <v>468</v>
      </c>
      <c r="E258" s="6" t="str">
        <f>HYPERLINK("https://csuc-ub.primo.exlibrisgroup.com/permalink/34CSUC_UB/1eiigjf/alma991010463379706708","07 Ms 1974 Imp 2")</f>
        <v>07 Ms 1974 Imp 2</v>
      </c>
      <c r="F258" s="1" t="s">
        <v>283</v>
      </c>
      <c r="G258" s="2" t="s">
        <v>24</v>
      </c>
      <c r="H258" s="2" t="s">
        <v>469</v>
      </c>
      <c r="I258" s="9"/>
      <c r="J258" s="9"/>
      <c r="K258" s="9"/>
    </row>
    <row r="259" spans="1:11" s="14" customFormat="1" ht="38.25" x14ac:dyDescent="0.2">
      <c r="A259" s="2" t="s">
        <v>470</v>
      </c>
      <c r="B259" s="2" t="s">
        <v>471</v>
      </c>
      <c r="C259" s="2" t="s">
        <v>472</v>
      </c>
      <c r="D259" s="2" t="s">
        <v>22</v>
      </c>
      <c r="E259" s="6" t="str">
        <f>HYPERLINK("https://csuc-ub.primo.exlibrisgroup.com/permalink/34CSUC_UB/1eiigjf/alma991012549642506708","07 Ms 1007")</f>
        <v>07 Ms 1007</v>
      </c>
      <c r="F259" s="5" t="s">
        <v>56</v>
      </c>
      <c r="G259" s="7" t="s">
        <v>12</v>
      </c>
      <c r="H259" s="2" t="s">
        <v>13</v>
      </c>
      <c r="I259" s="8"/>
      <c r="J259" s="8"/>
      <c r="K259" s="9"/>
    </row>
    <row r="260" spans="1:11" s="14" customFormat="1" ht="51" x14ac:dyDescent="0.2">
      <c r="A260" s="1"/>
      <c r="B260" s="2" t="s">
        <v>473</v>
      </c>
      <c r="C260" s="1" t="s">
        <v>474</v>
      </c>
      <c r="D260" s="2" t="s">
        <v>22</v>
      </c>
      <c r="E260" s="6" t="str">
        <f>HYPERLINK("https://csuc-ub.primo.exlibrisgroup.com/permalink/34CSUC_UB/1eiigjf/alma991012549563506708","07 Ms 1973")</f>
        <v>07 Ms 1973</v>
      </c>
      <c r="F260" s="1"/>
      <c r="G260" s="2" t="s">
        <v>12</v>
      </c>
      <c r="H260" s="2" t="s">
        <v>47</v>
      </c>
      <c r="I260" s="9"/>
      <c r="J260" s="9"/>
      <c r="K260" s="9"/>
    </row>
    <row r="261" spans="1:11" s="14" customFormat="1" ht="38.25" x14ac:dyDescent="0.2">
      <c r="A261" s="1"/>
      <c r="B261" s="2" t="s">
        <v>475</v>
      </c>
      <c r="C261" s="1" t="s">
        <v>476</v>
      </c>
      <c r="D261" s="2" t="s">
        <v>22</v>
      </c>
      <c r="E261" s="6" t="str">
        <f>HYPERLINK("https://csuc-ub.primo.exlibrisgroup.com/permalink/34CSUC_UB/1eiigjf/alma991012549567106708","07 Ms 1969")</f>
        <v>07 Ms 1969</v>
      </c>
      <c r="F261" s="1"/>
      <c r="G261" s="2" t="s">
        <v>12</v>
      </c>
      <c r="H261" s="2" t="s">
        <v>47</v>
      </c>
      <c r="I261" s="9"/>
      <c r="J261" s="9"/>
      <c r="K261" s="9"/>
    </row>
    <row r="262" spans="1:11" s="14" customFormat="1" ht="51" x14ac:dyDescent="0.2">
      <c r="A262" s="1"/>
      <c r="B262" s="2" t="s">
        <v>477</v>
      </c>
      <c r="C262" s="1" t="s">
        <v>478</v>
      </c>
      <c r="D262" s="2" t="s">
        <v>22</v>
      </c>
      <c r="E262" s="6" t="str">
        <f>HYPERLINK("https://csuc-ub.primo.exlibrisgroup.com/permalink/34CSUC_UB/1eiigjf/alma991012549567206708","07 Ms 1971")</f>
        <v>07 Ms 1971</v>
      </c>
      <c r="F262" s="1"/>
      <c r="G262" s="2" t="s">
        <v>12</v>
      </c>
      <c r="H262" s="2" t="s">
        <v>47</v>
      </c>
      <c r="I262" s="9"/>
      <c r="J262" s="9"/>
      <c r="K262" s="9"/>
    </row>
    <row r="263" spans="1:11" s="14" customFormat="1" ht="51" x14ac:dyDescent="0.2">
      <c r="A263" s="1"/>
      <c r="B263" s="2" t="s">
        <v>479</v>
      </c>
      <c r="C263" s="1" t="s">
        <v>480</v>
      </c>
      <c r="D263" s="2" t="s">
        <v>22</v>
      </c>
      <c r="E263" s="6" t="str">
        <f>HYPERLINK("https://csuc-ub.primo.exlibrisgroup.com/permalink/34CSUC_UB/1eiigjf/alma991012549563406708","07 Ms 1974")</f>
        <v>07 Ms 1974</v>
      </c>
      <c r="F263" s="1"/>
      <c r="G263" s="2" t="s">
        <v>12</v>
      </c>
      <c r="H263" s="2" t="s">
        <v>47</v>
      </c>
      <c r="I263" s="9"/>
      <c r="J263" s="9"/>
      <c r="K263" s="9"/>
    </row>
    <row r="264" spans="1:11" s="14" customFormat="1" ht="38.25" x14ac:dyDescent="0.2">
      <c r="A264" s="1"/>
      <c r="B264" s="2" t="s">
        <v>481</v>
      </c>
      <c r="C264" s="1" t="s">
        <v>482</v>
      </c>
      <c r="D264" s="2" t="s">
        <v>22</v>
      </c>
      <c r="E264" s="6" t="str">
        <f>HYPERLINK("https://csuc-ub.primo.exlibrisgroup.com/permalink/34CSUC_UB/1eiigjf/alma991012549566906708","07 Ms 1970")</f>
        <v>07 Ms 1970</v>
      </c>
      <c r="F264" s="1"/>
      <c r="G264" s="2" t="s">
        <v>12</v>
      </c>
      <c r="H264" s="2" t="s">
        <v>47</v>
      </c>
      <c r="I264" s="9"/>
      <c r="J264" s="9"/>
      <c r="K264" s="9"/>
    </row>
    <row r="265" spans="1:11" s="14" customFormat="1" ht="51" x14ac:dyDescent="0.2">
      <c r="A265" s="1"/>
      <c r="B265" s="2" t="s">
        <v>483</v>
      </c>
      <c r="C265" s="1" t="s">
        <v>484</v>
      </c>
      <c r="D265" s="2" t="s">
        <v>22</v>
      </c>
      <c r="E265" s="6" t="str">
        <f>HYPERLINK("https://csuc-ub.primo.exlibrisgroup.com/permalink/34CSUC_UB/1eiigjf/alma991010432859706708","07 Ms 1972")</f>
        <v>07 Ms 1972</v>
      </c>
      <c r="F265" s="1"/>
      <c r="G265" s="2" t="s">
        <v>12</v>
      </c>
      <c r="H265" s="2" t="s">
        <v>47</v>
      </c>
      <c r="I265" s="9"/>
      <c r="J265" s="9"/>
      <c r="K265" s="9"/>
    </row>
    <row r="266" spans="1:11" s="14" customFormat="1" ht="25.5" x14ac:dyDescent="0.2">
      <c r="A266" s="2" t="s">
        <v>485</v>
      </c>
      <c r="B266" s="2" t="s">
        <v>486</v>
      </c>
      <c r="C266" s="1" t="s">
        <v>487</v>
      </c>
      <c r="D266" s="2" t="s">
        <v>488</v>
      </c>
      <c r="E266" s="6" t="str">
        <f>HYPERLINK("https://csuc-ub.primo.exlibrisgroup.com/permalink/34CSUC_UB/1eiigjf/alma991003018979706708","07 Ms 1970 Imp 48")</f>
        <v>07 Ms 1970 Imp 48</v>
      </c>
      <c r="F266" s="1" t="s">
        <v>489</v>
      </c>
      <c r="G266" s="2" t="s">
        <v>24</v>
      </c>
      <c r="H266" s="2" t="s">
        <v>490</v>
      </c>
      <c r="I266" s="9"/>
      <c r="J266" s="9"/>
      <c r="K266" s="9"/>
    </row>
    <row r="267" spans="1:11" s="14" customFormat="1" x14ac:dyDescent="0.2">
      <c r="A267" s="1"/>
      <c r="B267" s="2" t="s">
        <v>491</v>
      </c>
      <c r="C267" s="2" t="s">
        <v>492</v>
      </c>
      <c r="D267" s="2" t="s">
        <v>10</v>
      </c>
      <c r="E267" s="6" t="str">
        <f>HYPERLINK("https://csuc-ub.primo.exlibrisgroup.com/permalink/34CSUC_UB/1eiigjf/alma991010251919706708","07 Ms 213")</f>
        <v>07 Ms 213</v>
      </c>
      <c r="F267" s="5"/>
      <c r="G267" s="2" t="s">
        <v>12</v>
      </c>
      <c r="H267" s="2" t="s">
        <v>493</v>
      </c>
      <c r="I267" s="9"/>
      <c r="J267" s="9"/>
      <c r="K267" s="9"/>
    </row>
    <row r="268" spans="1:11" s="14" customFormat="1" ht="76.5" x14ac:dyDescent="0.2">
      <c r="A268" s="1"/>
      <c r="B268" s="2" t="s">
        <v>494</v>
      </c>
      <c r="C268" s="2" t="s">
        <v>492</v>
      </c>
      <c r="D268" s="2" t="s">
        <v>10</v>
      </c>
      <c r="E268" s="6" t="str">
        <f>HYPERLINK("https://csuc-ub.primo.exlibrisgroup.com/permalink/34CSUC_UB/1eiigjf/alma991012549564006708","07 Ms 223")</f>
        <v>07 Ms 223</v>
      </c>
      <c r="F268" s="3" t="s">
        <v>50</v>
      </c>
      <c r="G268" s="2" t="s">
        <v>12</v>
      </c>
      <c r="H268" s="2" t="s">
        <v>13</v>
      </c>
      <c r="I268" s="8" t="s">
        <v>14</v>
      </c>
      <c r="J268" s="23" t="s">
        <v>495</v>
      </c>
      <c r="K268" s="10"/>
    </row>
    <row r="269" spans="1:11" s="14" customFormat="1" ht="25.5" x14ac:dyDescent="0.2">
      <c r="A269" s="2" t="s">
        <v>496</v>
      </c>
      <c r="B269" s="2" t="s">
        <v>497</v>
      </c>
      <c r="C269" s="2" t="s">
        <v>492</v>
      </c>
      <c r="D269" s="2" t="s">
        <v>22</v>
      </c>
      <c r="E269" s="6" t="str">
        <f>HYPERLINK("https://csuc-ub.primo.exlibrisgroup.com/permalink/34CSUC_UB/1eiigjf/alma991010307979706708","07 Ms 736")</f>
        <v>07 Ms 736</v>
      </c>
      <c r="F269" s="5"/>
      <c r="G269" s="2" t="s">
        <v>12</v>
      </c>
      <c r="H269" s="2" t="s">
        <v>13</v>
      </c>
      <c r="I269" s="8"/>
      <c r="J269" s="8"/>
      <c r="K269" s="9"/>
    </row>
    <row r="270" spans="1:11" s="14" customFormat="1" x14ac:dyDescent="0.2">
      <c r="A270" s="2" t="s">
        <v>498</v>
      </c>
      <c r="B270" s="2" t="s">
        <v>499</v>
      </c>
      <c r="C270" s="2" t="s">
        <v>492</v>
      </c>
      <c r="D270" s="2" t="s">
        <v>22</v>
      </c>
      <c r="E270" s="6" t="str">
        <f>HYPERLINK("https://csuc-ub.primo.exlibrisgroup.com/permalink/34CSUC_UB/1eiigjf/alma991010349789706708","07 Ms 95")</f>
        <v>07 Ms 95</v>
      </c>
      <c r="F270" s="5"/>
      <c r="G270" s="2" t="s">
        <v>12</v>
      </c>
      <c r="H270" s="2" t="s">
        <v>13</v>
      </c>
      <c r="I270" s="8"/>
      <c r="J270" s="8" t="s">
        <v>500</v>
      </c>
      <c r="K270" s="8" t="s">
        <v>501</v>
      </c>
    </row>
    <row r="271" spans="1:11" s="14" customFormat="1" ht="25.5" x14ac:dyDescent="0.2">
      <c r="A271" s="1"/>
      <c r="B271" s="2" t="s">
        <v>502</v>
      </c>
      <c r="C271" s="2" t="s">
        <v>503</v>
      </c>
      <c r="D271" s="2" t="s">
        <v>22</v>
      </c>
      <c r="E271" s="2" t="s">
        <v>504</v>
      </c>
      <c r="F271" s="5"/>
      <c r="G271" s="7" t="s">
        <v>12</v>
      </c>
      <c r="H271" s="2" t="s">
        <v>13</v>
      </c>
      <c r="I271" s="9"/>
      <c r="J271" s="8" t="s">
        <v>505</v>
      </c>
      <c r="K271" s="9"/>
    </row>
    <row r="272" spans="1:11" s="14" customFormat="1" ht="25.5" x14ac:dyDescent="0.2">
      <c r="A272" s="1"/>
      <c r="B272" s="2" t="s">
        <v>506</v>
      </c>
      <c r="C272" s="2" t="s">
        <v>503</v>
      </c>
      <c r="D272" s="2" t="s">
        <v>10</v>
      </c>
      <c r="E272" s="6" t="str">
        <f>HYPERLINK("https://csuc-ub.primo.exlibrisgroup.com/permalink/34CSUC_UB/1eiigjf/alma991010304309706708","07 Ms 1990 ")</f>
        <v xml:space="preserve">07 Ms 1990 </v>
      </c>
      <c r="F272" s="3" t="s">
        <v>178</v>
      </c>
      <c r="G272" s="2" t="s">
        <v>12</v>
      </c>
      <c r="H272" s="2" t="s">
        <v>391</v>
      </c>
      <c r="I272" s="9"/>
      <c r="J272" s="8" t="s">
        <v>507</v>
      </c>
      <c r="K272" s="9"/>
    </row>
    <row r="273" spans="1:11" s="14" customFormat="1" ht="25.5" x14ac:dyDescent="0.2">
      <c r="A273" s="1"/>
      <c r="B273" s="2" t="s">
        <v>508</v>
      </c>
      <c r="C273" s="2" t="s">
        <v>509</v>
      </c>
      <c r="D273" s="2" t="s">
        <v>510</v>
      </c>
      <c r="E273" s="6" t="str">
        <f>HYPERLINK("https://csuc-ub.primo.exlibrisgroup.com/permalink/34CSUC_UB/1eiigjf/alma991010345709706708","07 Ms 322")</f>
        <v>07 Ms 322</v>
      </c>
      <c r="F273" s="3"/>
      <c r="G273" s="2" t="s">
        <v>12</v>
      </c>
      <c r="H273" s="2" t="s">
        <v>47</v>
      </c>
      <c r="I273" s="9"/>
      <c r="J273" s="8" t="s">
        <v>511</v>
      </c>
      <c r="K273" s="9"/>
    </row>
    <row r="274" spans="1:11" s="14" customFormat="1" x14ac:dyDescent="0.2">
      <c r="B274" s="21"/>
      <c r="C274" s="21"/>
      <c r="D274" s="21"/>
      <c r="E274" s="21"/>
      <c r="G274" s="21"/>
      <c r="H274" s="21"/>
    </row>
    <row r="275" spans="1:11" s="14" customFormat="1" x14ac:dyDescent="0.2">
      <c r="B275" s="21"/>
      <c r="C275" s="21"/>
      <c r="D275" s="21"/>
      <c r="E275" s="21"/>
      <c r="G275" s="21"/>
      <c r="H275" s="21"/>
    </row>
    <row r="276" spans="1:11" s="14" customFormat="1" x14ac:dyDescent="0.2">
      <c r="B276" s="21"/>
      <c r="C276" s="21"/>
      <c r="D276" s="21"/>
      <c r="E276" s="21"/>
      <c r="G276" s="21"/>
      <c r="H276" s="21"/>
    </row>
    <row r="277" spans="1:11" s="14" customFormat="1" x14ac:dyDescent="0.2">
      <c r="B277" s="21"/>
      <c r="C277" s="21"/>
      <c r="D277" s="21"/>
      <c r="E277" s="21"/>
      <c r="G277" s="21"/>
      <c r="H277" s="21"/>
    </row>
    <row r="278" spans="1:11" s="14" customFormat="1" x14ac:dyDescent="0.2">
      <c r="B278" s="21"/>
      <c r="C278" s="21"/>
      <c r="D278" s="21"/>
      <c r="E278" s="21"/>
      <c r="G278" s="21"/>
      <c r="H278" s="21"/>
    </row>
    <row r="279" spans="1:11" s="14" customFormat="1" x14ac:dyDescent="0.2">
      <c r="B279" s="21"/>
      <c r="C279" s="21"/>
      <c r="D279" s="21"/>
      <c r="E279" s="21"/>
      <c r="G279" s="21"/>
      <c r="H279" s="21"/>
    </row>
    <row r="280" spans="1:11" s="14" customFormat="1" x14ac:dyDescent="0.2">
      <c r="B280" s="21"/>
      <c r="C280" s="21"/>
      <c r="D280" s="21"/>
      <c r="E280" s="21"/>
      <c r="G280" s="21"/>
      <c r="H280" s="21"/>
    </row>
    <row r="281" spans="1:11" s="14" customFormat="1" x14ac:dyDescent="0.2">
      <c r="B281" s="21"/>
      <c r="C281" s="21"/>
      <c r="D281" s="21"/>
      <c r="E281" s="21"/>
      <c r="G281" s="21"/>
      <c r="H281" s="21"/>
    </row>
    <row r="282" spans="1:11" s="14" customFormat="1" x14ac:dyDescent="0.2">
      <c r="B282" s="21"/>
      <c r="C282" s="21"/>
      <c r="D282" s="21"/>
      <c r="E282" s="21"/>
      <c r="G282" s="21"/>
      <c r="H282" s="21"/>
    </row>
    <row r="283" spans="1:11" s="14" customFormat="1" x14ac:dyDescent="0.2">
      <c r="B283" s="21"/>
      <c r="C283" s="21"/>
      <c r="D283" s="21"/>
      <c r="E283" s="21"/>
      <c r="G283" s="21"/>
      <c r="H283" s="21"/>
    </row>
    <row r="284" spans="1:11" s="14" customFormat="1" x14ac:dyDescent="0.2">
      <c r="B284" s="21"/>
      <c r="C284" s="21"/>
      <c r="D284" s="21"/>
      <c r="E284" s="21"/>
      <c r="G284" s="21"/>
      <c r="H284" s="21"/>
    </row>
    <row r="285" spans="1:11" s="14" customFormat="1" x14ac:dyDescent="0.2">
      <c r="B285" s="21"/>
      <c r="C285" s="21"/>
      <c r="D285" s="21"/>
      <c r="E285" s="21"/>
      <c r="G285" s="21"/>
      <c r="H285" s="21"/>
    </row>
    <row r="286" spans="1:11" s="14" customFormat="1" x14ac:dyDescent="0.2">
      <c r="B286" s="21"/>
      <c r="C286" s="21"/>
      <c r="D286" s="21"/>
      <c r="E286" s="21"/>
      <c r="G286" s="21"/>
      <c r="H286" s="21"/>
    </row>
    <row r="287" spans="1:11" s="14" customFormat="1" x14ac:dyDescent="0.2">
      <c r="B287" s="21"/>
      <c r="C287" s="21"/>
      <c r="D287" s="21"/>
      <c r="E287" s="21"/>
      <c r="G287" s="21"/>
      <c r="H287" s="21"/>
    </row>
    <row r="288" spans="1:11" s="14" customFormat="1" x14ac:dyDescent="0.2">
      <c r="B288" s="21"/>
      <c r="C288" s="21"/>
      <c r="D288" s="21"/>
      <c r="E288" s="21"/>
      <c r="G288" s="21"/>
      <c r="H288" s="21"/>
    </row>
    <row r="289" spans="2:8" s="14" customFormat="1" x14ac:dyDescent="0.2">
      <c r="B289" s="21"/>
      <c r="C289" s="21"/>
      <c r="D289" s="21"/>
      <c r="E289" s="21"/>
      <c r="G289" s="21"/>
      <c r="H289" s="21"/>
    </row>
    <row r="290" spans="2:8" s="14" customFormat="1" x14ac:dyDescent="0.2">
      <c r="B290" s="21"/>
      <c r="C290" s="21"/>
      <c r="D290" s="21"/>
      <c r="E290" s="21"/>
      <c r="G290" s="21"/>
      <c r="H290" s="21"/>
    </row>
  </sheetData>
  <autoFilter ref="A2:K2">
    <sortState ref="A3:K273">
      <sortCondition ref="C2"/>
    </sortState>
  </autoFilter>
  <phoneticPr fontId="2" type="noConversion"/>
  <hyperlinks>
    <hyperlink ref="A251" r:id="rId1" display="https://cataleg.ub.edu/search~S1*cat?/aEspanya.+Capit%7bu00E0%7d+General+de+Catalunya+%281715-1722+%3A+Pio+di+Savoia+e+Moura+Corte-Real%29/aespanya+capita+general+de+catalunya+++++1715+++++1722+pio+di+savoia+e+moura+corte+real/-3,-1,0,B/browse"/>
    <hyperlink ref="A149" r:id="rId2" display="https://cataleg.ub.edu/search~S1*cat?/aEspanya.+Capit%7bu00E0%7d+General+de+Catalunya+%281715-1722+%3A+Pio+di+Savoia+e+Moura+Corte-Real%29/aespanya+capita+general+de+catalunya+++++1715+++++1722+pio+di+savoia+e+moura+corte+real/-3,-1,0,B/browse"/>
    <hyperlink ref="A150" r:id="rId3" display="https://cataleg.ub.edu/search~S1*cat?/aEspanya.+Capit%7bu00E0%7d+General+de+Catalunya+%281715-1722+%3A+Pio+di+Savoia+e+Moura+Corte-Real%29/aespanya+capita+general+de+catalunya+++++1715+++++1722+pio+di+savoia+e+moura+corte+real/-3,-1,0,B/browse"/>
    <hyperlink ref="A152" r:id="rId4" display="https://cataleg.ub.edu/search~S1*cat?/aEspanya.+Capit%7bu00E0%7d+General+de+Catalunya+%281715-1722+%3A+Pio+di+Savoia+e+Moura+Corte-Real%29/aespanya+capita+general+de+catalunya+++++1715+++++1722+pio+di+savoia+e+moura+corte+real/-3,-1,0,B/browse"/>
    <hyperlink ref="A154" r:id="rId5" display="https://cataleg.ub.edu/search~S1*cat?/aEspanya.+Capit%7bu00E0%7d+General+de+Catalunya+%281715-1722+%3A+Pio+di+Savoia+e+Moura+Corte-Real%29/aespanya+capita+general+de+catalunya+++++1715+++++1722+pio+di+savoia+e+moura+corte+real/-3,-1,0,B/browse"/>
    <hyperlink ref="A155" r:id="rId6" display="https://cataleg.ub.edu/search~S1*cat?/aEspanya.+Capit%7bu00E0%7d+General+de+Catalunya+%281715-1722+%3A+Pio+di+Savoia+e+Moura+Corte-Real%29/aespanya+capita+general+de+catalunya+++++1715+++++1722+pio+di+savoia+e+moura+corte+real/-3,-1,0,B/browse"/>
    <hyperlink ref="A253" r:id="rId7" display="https://cataleg.ub.edu/search~S1*cat?/aEspanya.+Capit%7bu00E0%7d+General+de+Catalunya+%281715-1722+%3A+Pio+di+Savoia+e+Moura+Corte-Real%29/aespanya+capita+general+de+catalunya+++++1715+++++1722+pio+di+savoia+e+moura+corte+real/-3,-1,0,B/browse"/>
    <hyperlink ref="A168" r:id="rId8" display="https://cataleg.ub.edu/search~S1*cat?/aEspanya.+Capit%7bu00E0%7d+General+de+Catalunya+%281715-1722+%3A+Pio+di+Savoia+e+Moura+Corte-Real%29/aespanya+capita+general+de+catalunya+++++1715+++++1722+pio+di+savoia+e+moura+corte+real/-3,-1,0,B/browse"/>
    <hyperlink ref="A176" r:id="rId9" display="https://cataleg.ub.edu/search~S1*cat?/aEsgl%7bu00E9%7dsia+Cat%7bu00F2%7dlica.+Nunciatura+Apost%7bu00F2%7dlica.+Nunci+%281716-1717+%3A+Aldrovandi%29/aesglesia+catolica+nunciatura+apostolica+nunci+++++1716+++++1717+aldrovandi/-3,-1,0,B/browse"/>
    <hyperlink ref="A177" r:id="rId10" display="https://cataleg.ub.edu/search~S1*cat?/aEsgl%7bu00E9%7dsia+Cat%7bu00F2%7dlica.+Papa+%281700-1721+%3A+Climent+XI%29/aesglesia+catolica+papa+++++1700+++++1721+climent+xi/-3,-1,0,B/browse"/>
    <hyperlink ref="A178" r:id="rId11" display="https://cataleg.ub.edu/search~S1*cat?/aEsgl%7bu00E9%7dsia+Cat%7bu00F2%7dlica.+Papa+%281700-1721+%3A+Climent+XI%29/aesglesia+catolica+papa+++++1700+++++1721+climent+xi/-3,-1,0,B/browse"/>
    <hyperlink ref="A180" r:id="rId12" display="https://cataleg.ub.edu/search~S1*cat?/aEspanya.+Monarca+%281713-1746+%3A+Felip+V%29/aespanya+monarca+++++1713+++++1746+felip+v/-3,-1,0,B/browse"/>
    <hyperlink ref="A266" r:id="rId13" display="https://cataleg.ub.edu/search~S1*cat?/aAgustins.+Prior+%28Barcelona%2C+Catalunya%29/aagustins+prior+barcelona+catalunya/-3,-1,0,B/browse"/>
    <hyperlink ref="A258" r:id="rId14" display="https://cataleg.ub.edu/search~S1*cat?/aBarcelona+%28Catalunya%29.+Ajuntament/abarcelona+catalunya+ajuntament/-3,-1,0,B/browse"/>
    <hyperlink ref="A139" r:id="rId15" display="https://cataleg.ub.edu/search~S1*cat?/aBarcelona+%28Catalunya%29.+Junta+d%7bu2019%7dAdministradors+provisionals/abarcelona+catalunya+junta+dadministradors+provisionals/-3,-1,0,B/browse"/>
    <hyperlink ref="A140" r:id="rId16" display="https://cataleg.ub.edu/search~S1*cat?/aBarcelona+%28Catalunya%29.+Junta+d%7bu2019%7dAdministradors+provisionals/abarcelona+catalunya+junta+dadministradors+provisionals/-3,-1,0,B/browse"/>
    <hyperlink ref="A141" r:id="rId17" display="https://cataleg.ub.edu/search~S1*cat?/aBarcelona+%28Catalunya%29.+Junta+d%7bu2019%7dAdministradors+provisionals/abarcelona+catalunya+junta+dadministradors+provisionals/-3,-1,0,B/browse"/>
    <hyperlink ref="A157" r:id="rId18" display="https://cataleg.ub.edu/search~S1*cat?/aBarcelona+%28Catalunya%29.+Junta+d%7bu2019%7dAdministradors+provisionals/abarcelona+catalunya+junta+dadministradors+provisionals/-3,-1,0,B/browse"/>
    <hyperlink ref="A158" r:id="rId19" display="https://cataleg.ub.edu/search~S1*cat?/aBarcelona+%28Catalunya%29.+Junta+d%7bu2019%7dAdministradors+provisionals/abarcelona+catalunya+junta+dadministradors+provisionals/-3,-1,0,B/browse"/>
    <hyperlink ref="A250" r:id="rId20" display="https://cataleg.ub.edu/search~S1*cat?/aCervera+%28Catalunya%29.+Ajuntament/acervera+catalunya+ajuntament/-3,-1,0,B/browse"/>
    <hyperlink ref="A156" r:id="rId21" display="https://cataleg.ub.edu/search~S1*cat?/aBarcelona+%28Catalunya%29.+Junta+d%7bu2019%7dAdministradors+provisionals/abarcelona+catalunya+junta+dadministradors+provisionals/-3,-1,0,B/browse"/>
  </hyperlinks>
  <pageMargins left="0.7" right="0.7" top="0.75" bottom="0.75" header="0.3" footer="0.3"/>
  <pageSetup paperSize="9" orientation="portrait"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1</vt:i4>
      </vt:variant>
    </vt:vector>
  </HeadingPairs>
  <TitlesOfParts>
    <vt:vector size="2" baseType="lpstr">
      <vt:lpstr>Full 1</vt:lpstr>
      <vt:lpstr>'Full 1'!Àrea_d'impressió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gemma.masdeu</dc:creator>
  <cp:keywords/>
  <dc:description/>
  <cp:lastModifiedBy>Neus Anna Verger Arce</cp:lastModifiedBy>
  <cp:revision/>
  <dcterms:created xsi:type="dcterms:W3CDTF">2014-09-30T13:39:50Z</dcterms:created>
  <dcterms:modified xsi:type="dcterms:W3CDTF">2021-11-30T08:48:38Z</dcterms:modified>
  <cp:category/>
  <cp:contentStatus/>
</cp:coreProperties>
</file>